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8850" windowHeight="9345" activeTab="0"/>
  </bookViews>
  <sheets>
    <sheet name="IRPF ÚNICO EMPLEO" sheetId="1" r:id="rId1"/>
    <sheet name="DEDUCCIONES" sheetId="2" r:id="rId2"/>
    <sheet name="ANTICIPOS MENSUALES" sheetId="3" r:id="rId3"/>
    <sheet name="GUIA TRABAJADOR" sheetId="4" r:id="rId4"/>
  </sheets>
  <definedNames>
    <definedName name="_xlnm.Print_Area" localSheetId="0">'IRPF ÚNICO EMPLEO'!$B$3:$G$132</definedName>
  </definedNames>
  <calcPr fullCalcOnLoad="1"/>
</workbook>
</file>

<file path=xl/comments1.xml><?xml version="1.0" encoding="utf-8"?>
<comments xmlns="http://schemas.openxmlformats.org/spreadsheetml/2006/main">
  <authors>
    <author>pperdomo</author>
    <author>BPS</author>
    <author>Pablo</author>
  </authors>
  <commentList>
    <comment ref="F58" authorId="0">
      <text>
        <r>
          <rPr>
            <sz val="8"/>
            <rFont val="Tahoma"/>
            <family val="2"/>
          </rPr>
          <t xml:space="preserve">RECUERDA ACTUALIZAR EL VALOR DE LA BASE DE PRESTACIONES Y CONTRIBUCIONES,  CUYO IMPORTE DECRETARÁ EL PODER EJECUTIVO EN CADA AUMENTO SALARIAL OTORGADO A LOS FUNCIONARIOS PÚBLICOS.
</t>
        </r>
      </text>
    </comment>
    <comment ref="G6" authorId="1">
      <text>
        <r>
          <rPr>
            <b/>
            <u val="single"/>
            <sz val="9"/>
            <rFont val="Tahoma"/>
            <family val="2"/>
          </rPr>
          <t>Nuevo régimen</t>
        </r>
        <r>
          <rPr>
            <b/>
            <sz val="8"/>
            <rFont val="Tahoma"/>
            <family val="2"/>
          </rPr>
          <t xml:space="preserve">: aquellos trabajadores que aportan al régimen de jubilación por solidaridad intergeneracional y al  régimen de jubilación por ahorro individual obligatorio, (AFAP).
</t>
        </r>
        <r>
          <rPr>
            <b/>
            <u val="single"/>
            <sz val="9"/>
            <rFont val="Tahoma"/>
            <family val="2"/>
          </rPr>
          <t>Régimen de transición</t>
        </r>
        <r>
          <rPr>
            <b/>
            <sz val="8"/>
            <rFont val="Tahoma"/>
            <family val="2"/>
          </rPr>
          <t xml:space="preserve">: aportan </t>
        </r>
        <r>
          <rPr>
            <b/>
            <u val="single"/>
            <sz val="8"/>
            <rFont val="Tahoma"/>
            <family val="2"/>
          </rPr>
          <t>solo</t>
        </r>
        <r>
          <rPr>
            <b/>
            <sz val="8"/>
            <rFont val="Tahoma"/>
            <family val="2"/>
          </rPr>
          <t xml:space="preserve"> al régimen de jubilación por solidaridad intergeneracional, (no a la AFAP)</t>
        </r>
        <r>
          <rPr>
            <sz val="8"/>
            <rFont val="Tahoma"/>
            <family val="2"/>
          </rPr>
          <t xml:space="preserve">
</t>
        </r>
      </text>
    </comment>
    <comment ref="G16" authorId="1">
      <text>
        <r>
          <rPr>
            <b/>
            <sz val="8"/>
            <rFont val="Tahoma"/>
            <family val="2"/>
          </rPr>
          <t>ADEMAS DE LOS DECLARADOS LEGALMENTE, TAMBIEN ESTAN CONSIDERADOS, LOS CALIFICADOS CON "INCAPACIDAD SEVERA" POR EL B.P.S.</t>
        </r>
        <r>
          <rPr>
            <sz val="8"/>
            <rFont val="Tahoma"/>
            <family val="2"/>
          </rPr>
          <t xml:space="preserve">
</t>
        </r>
      </text>
    </comment>
    <comment ref="G9" authorId="1">
      <text>
        <r>
          <rPr>
            <b/>
            <sz val="8"/>
            <rFont val="Tahoma"/>
            <family val="2"/>
          </rPr>
          <t>PARA PODER CALCULAR LAS DEDUCCIONES, SIEMPRE HAY QUE LLENAR ESTA CELDA, SI SE ES FUNCIONARIO PÚBLICO</t>
        </r>
        <r>
          <rPr>
            <sz val="8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8"/>
            <rFont val="Tahoma"/>
            <family val="2"/>
          </rPr>
          <t>PARA PODER CALCULAR LAS DEDUCCIONES SIEMPRE SE DEBE LLENAR ESTA CELDA, SI SE ES TRABAJADOR PRIVADO</t>
        </r>
        <r>
          <rPr>
            <sz val="8"/>
            <rFont val="Tahoma"/>
            <family val="2"/>
          </rPr>
          <t xml:space="preserve">
</t>
        </r>
      </text>
    </comment>
    <comment ref="G5" authorId="1">
      <text>
        <r>
          <rPr>
            <b/>
            <sz val="10"/>
            <rFont val="Tahoma"/>
            <family val="2"/>
          </rPr>
          <t>ESTA CELDA ES IMPRESCINDIBLE LLENARLA, PARA CALCULAR CORRECTAMENTE EL APORTE AL SISTEMA NACIONAL INTEGRADO DE SALUD Y PARA DETERMINAR LAS DEDUCCIONES DEL IRPF</t>
        </r>
        <r>
          <rPr>
            <sz val="8"/>
            <rFont val="Tahoma"/>
            <family val="2"/>
          </rPr>
          <t xml:space="preserve">
</t>
        </r>
      </text>
    </comment>
    <comment ref="G7" authorId="1">
      <text>
        <r>
          <rPr>
            <b/>
            <sz val="9"/>
            <rFont val="Tahoma"/>
            <family val="2"/>
          </rPr>
          <t>ESTA CELDA ES IMPRESCINDIBLE LLENARLA, PARA CALCULAR CORRECTAMENTE EL APORTE AL SISTEMA NACIONAL INTEGRADO DE SALUD Y PARA DETERMINAR LAS DEDUCCIONES AL IRPF.</t>
        </r>
        <r>
          <rPr>
            <sz val="8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10"/>
            <rFont val="Tahoma"/>
            <family val="2"/>
          </rPr>
          <t>Pueden ser hijos tuyos o de tu cónyuge o concubino.</t>
        </r>
        <r>
          <rPr>
            <sz val="10"/>
            <rFont val="Tahoma"/>
            <family val="2"/>
          </rPr>
          <t xml:space="preserve">
</t>
        </r>
      </text>
    </comment>
    <comment ref="D132" authorId="2">
      <text>
        <r>
          <rPr>
            <b/>
            <sz val="10"/>
            <rFont val="Tahoma"/>
            <family val="2"/>
          </rPr>
          <t>Monto total gravado IRPF MAS el 6% de la materia gravada mensual, por concepto de adelanto de IRPF del aguinaldo, para ingresos salariales nominales mayores a 10 BPC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BPS</author>
    <author>Pablo Perdomo</author>
  </authors>
  <commentList>
    <comment ref="E66" authorId="0">
      <text>
        <r>
          <rPr>
            <b/>
            <sz val="8"/>
            <rFont val="Tahoma"/>
            <family val="2"/>
          </rPr>
          <t>TOPE CUOTA MUTUAL</t>
        </r>
        <r>
          <rPr>
            <sz val="8"/>
            <rFont val="Tahoma"/>
            <family val="2"/>
          </rPr>
          <t xml:space="preserve">
VALOR QUE HACE DE TOPE PARA ESTABLECER EL DERECHO A CUOTA MUTUAL DE AQUELLOS JUBILADOS QUE TUVIERON SU ÚLTIMA ACTIVIDAD LABORAL COMO DEPENDIENTES.
SU VALOR SE ACTUALIZA EN EL MISMO MOMENTO QUE LA B.P.C.
</t>
        </r>
      </text>
    </comment>
    <comment ref="E62" authorId="1">
      <text>
        <r>
          <rPr>
            <b/>
            <sz val="8"/>
            <rFont val="Tahoma"/>
            <family val="2"/>
          </rPr>
          <t>BASE de PRESTACIONES y CONTRIBUCIONES</t>
        </r>
        <r>
          <rPr>
            <sz val="8"/>
            <rFont val="Tahoma"/>
            <family val="2"/>
          </rPr>
          <t xml:space="preserve">. 
INGRESAR EL VALOR VIGENTE.
VARIA EN CADA OCACIÓN DE AUMENTO A LOS SALARIOS DE LOS FUNCIONARIOS PÚBLICOS.
PARA EL CALCULO DEL AJUSTE ANUAL DEL IMPUESTO, SE UTILIZARÁ LA B.P.C. PROMEDIO VIGENTE EN EL PERÍODO.
</t>
        </r>
      </text>
    </comment>
    <comment ref="A17" authorId="1">
      <text>
        <r>
          <rPr>
            <b/>
            <sz val="8"/>
            <rFont val="Tahoma"/>
            <family val="2"/>
          </rPr>
          <t>DEDUCCIONES DE MENORES EN PASIVOS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>Art.188, 1% y 3%</t>
        </r>
        <r>
          <rPr>
            <sz val="8"/>
            <rFont val="Tahoma"/>
            <family val="2"/>
          </rPr>
          <t xml:space="preserve">
</t>
        </r>
      </text>
    </comment>
    <comment ref="E69" authorId="1">
      <text>
        <r>
          <rPr>
            <b/>
            <sz val="8"/>
            <rFont val="Tahoma"/>
            <family val="2"/>
          </rPr>
          <t>TOPE TERCER NIVEL LEY 16,713</t>
        </r>
        <r>
          <rPr>
            <sz val="8"/>
            <rFont val="Tahoma"/>
            <family val="2"/>
          </rPr>
          <t xml:space="preserve">
INGRESAR EL VALOR VIGENTE.
CIFRA HASTA LA CUAL SE CALCULAN  LOS APORTES PERSONALES, SOLO PARA AQUELLOS TRABAJADORES QUE ESTÁN COMPRENDIDOS EN EL NUEVO RÉGIMEN, (SOLIDARIDAD INTERGENERACIONAL Y AFAP)
SE ACTUALIZA AL MES SIGUIENTE DE LA VIGENCIA DE LA NUEVA BPC
</t>
        </r>
      </text>
    </comment>
    <comment ref="E4" authorId="0">
      <text>
        <r>
          <rPr>
            <b/>
            <sz val="8"/>
            <rFont val="Tahoma"/>
            <family val="2"/>
          </rPr>
          <t>ATENCIÓN MEDICA A MENORES A CARGO</t>
        </r>
        <r>
          <rPr>
            <sz val="8"/>
            <rFont val="Tahoma"/>
            <family val="2"/>
          </rPr>
          <t xml:space="preserve">:
POR ATENCIÓN MÉDICA A LOS HIJOS MENORES DE EDAD A CARGO DEL CONTRIBUYENTE, SE PODRÁ DEDUCIR </t>
        </r>
        <r>
          <rPr>
            <b/>
            <sz val="8"/>
            <rFont val="Tahoma"/>
            <family val="2"/>
          </rPr>
          <t>13 BPC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ANUALES.</t>
        </r>
        <r>
          <rPr>
            <sz val="8"/>
            <rFont val="Tahoma"/>
            <family val="2"/>
          </rPr>
          <t xml:space="preserve">  </t>
        </r>
        <r>
          <rPr>
            <b/>
            <u val="single"/>
            <sz val="8"/>
            <rFont val="Tahoma"/>
            <family val="2"/>
          </rPr>
          <t>Modificado por art. 8 de la ley No. 18.314.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ATENCIÓN MÉDICA PASIVOS</t>
        </r>
        <r>
          <rPr>
            <sz val="8"/>
            <rFont val="Tahoma"/>
            <family val="2"/>
          </rPr>
          <t xml:space="preserve"> POR ATENCIÓN MÉDICA LOS JUBILADOS Y PENSIONISTAS PODRÁN DEDUCIR 12 B.P.C. </t>
        </r>
        <r>
          <rPr>
            <b/>
            <sz val="8"/>
            <rFont val="Tahoma"/>
            <family val="2"/>
          </rPr>
          <t>ANUALES</t>
        </r>
        <r>
          <rPr>
            <sz val="8"/>
            <rFont val="Tahoma"/>
            <family val="2"/>
          </rPr>
          <t>, (1 BPC</t>
        </r>
        <r>
          <rPr>
            <sz val="8"/>
            <rFont val="Tahoma"/>
            <family val="2"/>
          </rPr>
          <t xml:space="preserve"> POR MES)
</t>
        </r>
      </text>
    </comment>
    <comment ref="E11" authorId="0">
      <text>
        <r>
          <rPr>
            <b/>
            <sz val="8"/>
            <rFont val="Tahoma"/>
            <family val="2"/>
          </rPr>
          <t>ATENCIÓN MÉDICA A HIJOS MAYORES O MENORES LEGALMENTE DECLARADOS INCAPACES</t>
        </r>
        <r>
          <rPr>
            <sz val="8"/>
            <rFont val="Tahoma"/>
            <family val="2"/>
          </rPr>
          <t xml:space="preserve">. LA DEDUCCIÓN ES DE 26 BPC </t>
        </r>
        <r>
          <rPr>
            <b/>
            <sz val="8"/>
            <rFont val="Tahoma"/>
            <family val="2"/>
          </rPr>
          <t xml:space="preserve">ANUALES. </t>
        </r>
        <r>
          <rPr>
            <b/>
            <u val="single"/>
            <sz val="8"/>
            <rFont val="Tahoma"/>
            <family val="2"/>
          </rPr>
          <t>Moficiado por art. 8 de la ley No. 18.341.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<sst xmlns="http://schemas.openxmlformats.org/spreadsheetml/2006/main" count="222" uniqueCount="131">
  <si>
    <t>MONTE PIO</t>
  </si>
  <si>
    <t>0 a 5 BPC</t>
  </si>
  <si>
    <t>5 a 10 BPC</t>
  </si>
  <si>
    <t>10 a 15 BPC</t>
  </si>
  <si>
    <t>BPC</t>
  </si>
  <si>
    <t>FRANJAS</t>
  </si>
  <si>
    <t>FRANJAS DE IRP Actual</t>
  </si>
  <si>
    <t>Monto</t>
  </si>
  <si>
    <t>Porcentaje</t>
  </si>
  <si>
    <t>TRABAJADORES</t>
  </si>
  <si>
    <t>NOMINAL</t>
  </si>
  <si>
    <t>15 BPC a 50 BPC</t>
  </si>
  <si>
    <t>50 BPC a 100 BPC</t>
  </si>
  <si>
    <t>DESDE 100 BPC</t>
  </si>
  <si>
    <t>MONTO</t>
  </si>
  <si>
    <t>10 a 45 BPC</t>
  </si>
  <si>
    <t>45 a 95 BPC</t>
  </si>
  <si>
    <t>Mas de 95 BPC</t>
  </si>
  <si>
    <t>DEDUCCIONES</t>
  </si>
  <si>
    <t>DEDUCCIONES TRABAJADORES</t>
  </si>
  <si>
    <t>Atención médica pasivos</t>
  </si>
  <si>
    <t>DEDUCCIONES JUBILADOS</t>
  </si>
  <si>
    <t>DEDUCCIONES PENSIONISTAS</t>
  </si>
  <si>
    <t>JUBILADO</t>
  </si>
  <si>
    <t>PENSIONISTA</t>
  </si>
  <si>
    <t>Tope cuota mutual PASIVOS</t>
  </si>
  <si>
    <t>Fondo de Solidaridad</t>
  </si>
  <si>
    <t>Si sos TRABAJADOR ingresá TU SUELDO NOMINAL en la celda ROJA</t>
  </si>
  <si>
    <t>IRP TOTAL</t>
  </si>
  <si>
    <t>F.R.LABORAL</t>
  </si>
  <si>
    <t xml:space="preserve">IRPF BRUTO </t>
  </si>
  <si>
    <t>JUBILADOS Y PENSIONISTAS</t>
  </si>
  <si>
    <t>IRP TRABAJADOR PRIVADO MULTIEMPLEO</t>
  </si>
  <si>
    <t>TOTAL</t>
  </si>
  <si>
    <t>IRP JUBILADOS</t>
  </si>
  <si>
    <t>IRP PENSIONISTA</t>
  </si>
  <si>
    <t>IRP TRABAJADOR PUBLICO MULTIEMPLEO</t>
  </si>
  <si>
    <t>NIVEL 3 DE INGRESO</t>
  </si>
  <si>
    <t>TRANSICIÓN</t>
  </si>
  <si>
    <t>NUEVO</t>
  </si>
  <si>
    <t>NIVEL DE INGRESO 3</t>
  </si>
  <si>
    <t>COMPARACIÓN</t>
  </si>
  <si>
    <t xml:space="preserve">APORTES </t>
  </si>
  <si>
    <t>APORTES CJP</t>
  </si>
  <si>
    <t>REINTEGROS CJP</t>
  </si>
  <si>
    <t>Si sos JUBILADO ingresá tu pasividad NOMINAL, en la celda ROSADA, (una jubilación por celda)</t>
  </si>
  <si>
    <t>Si sos PENSIONISTA ingresá tu pasividad NOMINAL, en la celda GRIS, (una pensión por celda)</t>
  </si>
  <si>
    <t>Marcá, en la celda marrón, CUANTOS HIJOS MENORES DE 18 AÑOS tienes a tu cargo</t>
  </si>
  <si>
    <t>APORTES</t>
  </si>
  <si>
    <t>Atención médica a menores a cargo</t>
  </si>
  <si>
    <t>IRPF por franja</t>
  </si>
  <si>
    <t>Atención médica hijos incapaces</t>
  </si>
  <si>
    <t>2,5 BPC</t>
  </si>
  <si>
    <t>Digitá, en la celda VIOLETA, 1 si se está incluido en el nuevo régimen o 2 si se esta en el régimen de transición, establecidos por la Ley 16713</t>
  </si>
  <si>
    <t>IRPF</t>
  </si>
  <si>
    <t>FONASA</t>
  </si>
  <si>
    <t>0 a 7 BPC</t>
  </si>
  <si>
    <t>7 a 10 BPC</t>
  </si>
  <si>
    <t>IRPF TRABAJADORES y/o PASIVOS</t>
  </si>
  <si>
    <t>COMPARACIÓN IRPF</t>
  </si>
  <si>
    <t>Deducciones</t>
  </si>
  <si>
    <t>0 a 3 BPC</t>
  </si>
  <si>
    <t>3 a 8 BPC</t>
  </si>
  <si>
    <t>8 a 43 BPC</t>
  </si>
  <si>
    <t>43 a 93 BPC</t>
  </si>
  <si>
    <t>Mas de 93 BPC</t>
  </si>
  <si>
    <t>DEDUCCIONES ACTUAL</t>
  </si>
  <si>
    <t>BXBX</t>
  </si>
  <si>
    <t>APORTE JUBILATORIO (Montepío o BPS)</t>
  </si>
  <si>
    <t>DEDUCCIONES HASTA el 30/8/08</t>
  </si>
  <si>
    <t>COMPARATIVO I.R.P. con I.R.P.F.</t>
  </si>
  <si>
    <t>Diferencia entre</t>
  </si>
  <si>
    <t>I.R.P.F e I.R.P</t>
  </si>
  <si>
    <t>I.R.P.F. ACTUAL</t>
  </si>
  <si>
    <t>I.R.P.F. hasta el 30/8/08</t>
  </si>
  <si>
    <t xml:space="preserve"> En la celda CELESTE, digitá 1 si tenés HIJOS menores de 18 años o DISCAPACITADOS de cualquier edad A TU CARGO</t>
  </si>
  <si>
    <t>FONASA CONYUGE</t>
  </si>
  <si>
    <t>Marcá, en la celda VERDE, cuantos HIJOS MAYORES O MENORES LEGALMENTE DECLARADOS INCAPACES, tienes a tu cargo</t>
  </si>
  <si>
    <t>Si sos funcionario PÚBLICO ingresá, en la celda AZUL, tu SUELDO NOMINAL MENOS las partidas que no son consideradas materia gravada por el BPS.</t>
  </si>
  <si>
    <t>6% AGUINALDO</t>
  </si>
  <si>
    <t>10 BPC</t>
  </si>
  <si>
    <t>MAT. GRAVADA</t>
  </si>
  <si>
    <t xml:space="preserve">Si sos trabajador PRIVADO ingresá tu SUELDO NOMINAL MENOS las partidas no gravadas por el BPS, en cualquiera de las celdas AMARILLAS. </t>
  </si>
  <si>
    <t>Monto total gravado IRPF</t>
  </si>
  <si>
    <t>Monto imponible para la retención</t>
  </si>
  <si>
    <t>Monto total de DEDUCCIONES</t>
  </si>
  <si>
    <t>Hijos menores a cargo o discapacitados</t>
  </si>
  <si>
    <t>I.R.P.a 6/2007</t>
  </si>
  <si>
    <t>MONTOS PASIBLES DE DEDUCCIONES</t>
  </si>
  <si>
    <t>Cálculo de anticipos mensuales de IRPF</t>
  </si>
  <si>
    <t>IRPF Sin deducciones</t>
  </si>
  <si>
    <t>50 BPC a 75 BPC</t>
  </si>
  <si>
    <t>DESDE 115 BPC</t>
  </si>
  <si>
    <t>75 BPC A 115 BPC</t>
  </si>
  <si>
    <t>Si tu cónyuge o cuncubino/a NO tiene actividad laboral digitá 1 en la rosada</t>
  </si>
  <si>
    <t>DEDUCCIONES A PARTIR DEL 1/1/2017</t>
  </si>
  <si>
    <t>DEDUCCIONES VIGENTES PARA EL AÑOS 2016</t>
  </si>
  <si>
    <t xml:space="preserve">IRPF NETO CON DEDUCCIONES </t>
  </si>
  <si>
    <t>Cálculo de anticipos mensuales de IRPF VIGENCIA 2016</t>
  </si>
  <si>
    <t>Cálculo de anticipos mensuales de IRPF AL 1/1/2017</t>
  </si>
  <si>
    <t>COBRO LÍQUIDO ACTUAL</t>
  </si>
  <si>
    <t xml:space="preserve">Si te corresponde, ingresá en las celdas NARANJAS, el importe de las DEDUCCIONES </t>
  </si>
  <si>
    <t>DESGLOSE DE LA DIFERENCIA</t>
  </si>
  <si>
    <t>Aumento por cambio de deducciones</t>
  </si>
  <si>
    <t>Aumento por cambio de tasa del IRPF</t>
  </si>
  <si>
    <t>DIFERENCIA DE APORTE DE IRFP BRUTO</t>
  </si>
  <si>
    <t>DEDUCCIONES BRUTAS HASTA 33,400</t>
  </si>
  <si>
    <t>0 HIJO</t>
  </si>
  <si>
    <t>1 HIJO</t>
  </si>
  <si>
    <t>2 HIJOS</t>
  </si>
  <si>
    <t>3 HIJOS</t>
  </si>
  <si>
    <t>4 HIJOS</t>
  </si>
  <si>
    <t>5 HIJOS</t>
  </si>
  <si>
    <t>TOTAL DE DEDUCCIONES NETAS</t>
  </si>
  <si>
    <t>DIFERENCIA DEDUCCIONES</t>
  </si>
  <si>
    <t>6 HIJOS</t>
  </si>
  <si>
    <t>Adicional F.Solidaridad</t>
  </si>
  <si>
    <t>15 BPC a 30 BPC</t>
  </si>
  <si>
    <t>30 BPC a 50 BPC</t>
  </si>
  <si>
    <t>Progresivo</t>
  </si>
  <si>
    <t>50100-33400</t>
  </si>
  <si>
    <t>DEDUCCIONES BRUTAS HASTA 50,100</t>
  </si>
  <si>
    <t>IRPF al 31-12-16</t>
  </si>
  <si>
    <t xml:space="preserve"> </t>
  </si>
  <si>
    <t>IRPF 2018</t>
  </si>
  <si>
    <t>Cobro líquido 2018</t>
  </si>
  <si>
    <t>Aumento de pago de IRFP con cambios introducidos al 1/1/2017</t>
  </si>
  <si>
    <t>Cobro líquido c/IRPF al 31/12/2016</t>
  </si>
  <si>
    <t>COMPARATIVO DE APORTE CON CAMBIOS AL IRPF DEL 1/1/2017</t>
  </si>
  <si>
    <t>Aporte MENSUAL de IRPF, trabajadores con único empleo, a partir de 2021</t>
  </si>
  <si>
    <t>Cobro Líquido Mensual 2021</t>
  </si>
</sst>
</file>

<file path=xl/styles.xml><?xml version="1.0" encoding="utf-8"?>
<styleSheet xmlns="http://schemas.openxmlformats.org/spreadsheetml/2006/main">
  <numFmts count="3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U&quot;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000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Comic Sans MS"/>
      <family val="4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8"/>
      <name val="Tahoma"/>
      <family val="2"/>
    </font>
    <font>
      <b/>
      <sz val="12"/>
      <name val="Comic Sans MS"/>
      <family val="4"/>
    </font>
    <font>
      <b/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9"/>
      <name val="Comic Sans MS"/>
      <family val="4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9"/>
      <name val="Tahoma"/>
      <family val="2"/>
    </font>
    <font>
      <b/>
      <u val="single"/>
      <sz val="8"/>
      <name val="Tahoma"/>
      <family val="2"/>
    </font>
    <font>
      <b/>
      <sz val="10"/>
      <name val="Tahoma"/>
      <family val="2"/>
    </font>
    <font>
      <b/>
      <sz val="22"/>
      <name val="Comic Sans MS"/>
      <family val="4"/>
    </font>
    <font>
      <b/>
      <sz val="9"/>
      <name val="Tahoma"/>
      <family val="2"/>
    </font>
    <font>
      <b/>
      <sz val="22"/>
      <name val="Arial"/>
      <family val="2"/>
    </font>
    <font>
      <sz val="10"/>
      <name val="Tahoma"/>
      <family val="2"/>
    </font>
    <font>
      <b/>
      <sz val="20"/>
      <name val="Comic Sans MS"/>
      <family val="4"/>
    </font>
    <font>
      <b/>
      <sz val="18"/>
      <name val="Comic Sans MS"/>
      <family val="4"/>
    </font>
    <font>
      <b/>
      <sz val="24"/>
      <name val="Comic Sans MS"/>
      <family val="4"/>
    </font>
    <font>
      <b/>
      <sz val="20"/>
      <color indexed="9"/>
      <name val="Arial"/>
      <family val="2"/>
    </font>
    <font>
      <b/>
      <sz val="16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552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9" fontId="1" fillId="33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 applyProtection="1">
      <alignment/>
      <protection hidden="1"/>
    </xf>
    <xf numFmtId="3" fontId="1" fillId="33" borderId="14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0" fontId="3" fillId="34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1" fillId="33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1" fontId="2" fillId="35" borderId="18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>
      <alignment horizontal="center" wrapText="1" shrinkToFit="1"/>
    </xf>
    <xf numFmtId="1" fontId="7" fillId="0" borderId="18" xfId="0" applyNumberFormat="1" applyFont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4" borderId="25" xfId="0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7" borderId="18" xfId="0" applyFont="1" applyFill="1" applyBorder="1" applyAlignment="1" applyProtection="1">
      <alignment horizontal="center"/>
      <protection hidden="1"/>
    </xf>
    <xf numFmtId="0" fontId="1" fillId="38" borderId="18" xfId="0" applyFont="1" applyFill="1" applyBorder="1" applyAlignment="1" applyProtection="1">
      <alignment horizontal="center"/>
      <protection hidden="1"/>
    </xf>
    <xf numFmtId="0" fontId="18" fillId="39" borderId="26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>
      <alignment/>
    </xf>
    <xf numFmtId="0" fontId="1" fillId="34" borderId="27" xfId="0" applyFont="1" applyFill="1" applyBorder="1" applyAlignment="1" applyProtection="1">
      <alignment/>
      <protection hidden="1"/>
    </xf>
    <xf numFmtId="9" fontId="1" fillId="34" borderId="27" xfId="0" applyNumberFormat="1" applyFont="1" applyFill="1" applyBorder="1" applyAlignment="1">
      <alignment/>
    </xf>
    <xf numFmtId="1" fontId="2" fillId="34" borderId="13" xfId="0" applyNumberFormat="1" applyFont="1" applyFill="1" applyBorder="1" applyAlignment="1" applyProtection="1">
      <alignment/>
      <protection hidden="1"/>
    </xf>
    <xf numFmtId="0" fontId="1" fillId="33" borderId="28" xfId="0" applyFont="1" applyFill="1" applyBorder="1" applyAlignment="1">
      <alignment/>
    </xf>
    <xf numFmtId="1" fontId="1" fillId="33" borderId="29" xfId="0" applyNumberFormat="1" applyFont="1" applyFill="1" applyBorder="1" applyAlignment="1" applyProtection="1">
      <alignment/>
      <protection hidden="1"/>
    </xf>
    <xf numFmtId="9" fontId="1" fillId="33" borderId="29" xfId="0" applyNumberFormat="1" applyFont="1" applyFill="1" applyBorder="1" applyAlignment="1">
      <alignment/>
    </xf>
    <xf numFmtId="1" fontId="2" fillId="33" borderId="30" xfId="0" applyNumberFormat="1" applyFont="1" applyFill="1" applyBorder="1" applyAlignment="1" applyProtection="1">
      <alignment/>
      <protection hidden="1"/>
    </xf>
    <xf numFmtId="0" fontId="1" fillId="37" borderId="28" xfId="0" applyFont="1" applyFill="1" applyBorder="1" applyAlignment="1">
      <alignment/>
    </xf>
    <xf numFmtId="0" fontId="1" fillId="37" borderId="29" xfId="0" applyFont="1" applyFill="1" applyBorder="1" applyAlignment="1" applyProtection="1">
      <alignment/>
      <protection hidden="1"/>
    </xf>
    <xf numFmtId="9" fontId="1" fillId="37" borderId="29" xfId="0" applyNumberFormat="1" applyFont="1" applyFill="1" applyBorder="1" applyAlignment="1">
      <alignment/>
    </xf>
    <xf numFmtId="1" fontId="2" fillId="37" borderId="30" xfId="0" applyNumberFormat="1" applyFont="1" applyFill="1" applyBorder="1" applyAlignment="1" applyProtection="1">
      <alignment/>
      <protection hidden="1"/>
    </xf>
    <xf numFmtId="0" fontId="1" fillId="38" borderId="28" xfId="0" applyFont="1" applyFill="1" applyBorder="1" applyAlignment="1">
      <alignment/>
    </xf>
    <xf numFmtId="1" fontId="1" fillId="38" borderId="29" xfId="0" applyNumberFormat="1" applyFont="1" applyFill="1" applyBorder="1" applyAlignment="1" applyProtection="1">
      <alignment/>
      <protection hidden="1"/>
    </xf>
    <xf numFmtId="9" fontId="1" fillId="38" borderId="29" xfId="0" applyNumberFormat="1" applyFont="1" applyFill="1" applyBorder="1" applyAlignment="1">
      <alignment/>
    </xf>
    <xf numFmtId="1" fontId="2" fillId="38" borderId="30" xfId="0" applyNumberFormat="1" applyFont="1" applyFill="1" applyBorder="1" applyAlignment="1" applyProtection="1">
      <alignment/>
      <protection hidden="1"/>
    </xf>
    <xf numFmtId="0" fontId="18" fillId="39" borderId="11" xfId="0" applyFont="1" applyFill="1" applyBorder="1" applyAlignment="1">
      <alignment/>
    </xf>
    <xf numFmtId="1" fontId="18" fillId="39" borderId="31" xfId="0" applyNumberFormat="1" applyFont="1" applyFill="1" applyBorder="1" applyAlignment="1" applyProtection="1">
      <alignment/>
      <protection hidden="1"/>
    </xf>
    <xf numFmtId="9" fontId="18" fillId="39" borderId="31" xfId="0" applyNumberFormat="1" applyFont="1" applyFill="1" applyBorder="1" applyAlignment="1">
      <alignment/>
    </xf>
    <xf numFmtId="1" fontId="20" fillId="39" borderId="14" xfId="0" applyNumberFormat="1" applyFont="1" applyFill="1" applyBorder="1" applyAlignment="1" applyProtection="1">
      <alignment/>
      <protection hidden="1"/>
    </xf>
    <xf numFmtId="0" fontId="18" fillId="40" borderId="12" xfId="0" applyFont="1" applyFill="1" applyBorder="1" applyAlignment="1">
      <alignment/>
    </xf>
    <xf numFmtId="1" fontId="18" fillId="40" borderId="32" xfId="0" applyNumberFormat="1" applyFont="1" applyFill="1" applyBorder="1" applyAlignment="1" applyProtection="1">
      <alignment/>
      <protection hidden="1"/>
    </xf>
    <xf numFmtId="9" fontId="18" fillId="40" borderId="32" xfId="0" applyNumberFormat="1" applyFont="1" applyFill="1" applyBorder="1" applyAlignment="1">
      <alignment/>
    </xf>
    <xf numFmtId="3" fontId="6" fillId="34" borderId="23" xfId="0" applyNumberFormat="1" applyFont="1" applyFill="1" applyBorder="1" applyAlignment="1" applyProtection="1">
      <alignment horizontal="center"/>
      <protection locked="0"/>
    </xf>
    <xf numFmtId="4" fontId="4" fillId="41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1" fontId="0" fillId="0" borderId="18" xfId="0" applyNumberFormat="1" applyBorder="1" applyAlignment="1" applyProtection="1">
      <alignment horizontal="center"/>
      <protection hidden="1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3" fontId="4" fillId="33" borderId="23" xfId="0" applyNumberFormat="1" applyFont="1" applyFill="1" applyBorder="1" applyAlignment="1" applyProtection="1">
      <alignment horizontal="center"/>
      <protection locked="0"/>
    </xf>
    <xf numFmtId="0" fontId="1" fillId="42" borderId="33" xfId="0" applyFont="1" applyFill="1" applyBorder="1" applyAlignment="1">
      <alignment horizontal="center"/>
    </xf>
    <xf numFmtId="1" fontId="2" fillId="42" borderId="18" xfId="0" applyNumberFormat="1" applyFont="1" applyFill="1" applyBorder="1" applyAlignment="1" applyProtection="1">
      <alignment horizontal="center"/>
      <protection hidden="1"/>
    </xf>
    <xf numFmtId="0" fontId="1" fillId="43" borderId="33" xfId="0" applyFont="1" applyFill="1" applyBorder="1" applyAlignment="1">
      <alignment/>
    </xf>
    <xf numFmtId="1" fontId="2" fillId="43" borderId="18" xfId="0" applyNumberFormat="1" applyFont="1" applyFill="1" applyBorder="1" applyAlignment="1">
      <alignment horizontal="center"/>
    </xf>
    <xf numFmtId="0" fontId="1" fillId="44" borderId="33" xfId="0" applyFont="1" applyFill="1" applyBorder="1" applyAlignment="1">
      <alignment horizontal="center"/>
    </xf>
    <xf numFmtId="1" fontId="2" fillId="44" borderId="18" xfId="0" applyNumberFormat="1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0" fontId="1" fillId="34" borderId="34" xfId="0" applyFont="1" applyFill="1" applyBorder="1" applyAlignment="1" applyProtection="1">
      <alignment horizontal="right"/>
      <protection hidden="1"/>
    </xf>
    <xf numFmtId="1" fontId="7" fillId="34" borderId="35" xfId="0" applyNumberFormat="1" applyFont="1" applyFill="1" applyBorder="1" applyAlignment="1" applyProtection="1">
      <alignment/>
      <protection hidden="1"/>
    </xf>
    <xf numFmtId="9" fontId="1" fillId="34" borderId="35" xfId="0" applyNumberFormat="1" applyFont="1" applyFill="1" applyBorder="1" applyAlignment="1" applyProtection="1">
      <alignment horizontal="center"/>
      <protection hidden="1"/>
    </xf>
    <xf numFmtId="1" fontId="7" fillId="34" borderId="36" xfId="0" applyNumberFormat="1" applyFont="1" applyFill="1" applyBorder="1" applyAlignment="1" applyProtection="1">
      <alignment/>
      <protection hidden="1"/>
    </xf>
    <xf numFmtId="0" fontId="1" fillId="33" borderId="28" xfId="0" applyFont="1" applyFill="1" applyBorder="1" applyAlignment="1" applyProtection="1">
      <alignment horizontal="right"/>
      <protection hidden="1"/>
    </xf>
    <xf numFmtId="1" fontId="7" fillId="33" borderId="29" xfId="0" applyNumberFormat="1" applyFont="1" applyFill="1" applyBorder="1" applyAlignment="1" applyProtection="1">
      <alignment/>
      <protection hidden="1"/>
    </xf>
    <xf numFmtId="9" fontId="1" fillId="33" borderId="29" xfId="0" applyNumberFormat="1" applyFont="1" applyFill="1" applyBorder="1" applyAlignment="1" applyProtection="1">
      <alignment horizontal="center"/>
      <protection hidden="1"/>
    </xf>
    <xf numFmtId="1" fontId="7" fillId="33" borderId="30" xfId="0" applyNumberFormat="1" applyFont="1" applyFill="1" applyBorder="1" applyAlignment="1" applyProtection="1">
      <alignment/>
      <protection hidden="1"/>
    </xf>
    <xf numFmtId="0" fontId="1" fillId="37" borderId="28" xfId="0" applyFont="1" applyFill="1" applyBorder="1" applyAlignment="1" applyProtection="1">
      <alignment horizontal="right"/>
      <protection hidden="1"/>
    </xf>
    <xf numFmtId="1" fontId="7" fillId="37" borderId="29" xfId="0" applyNumberFormat="1" applyFont="1" applyFill="1" applyBorder="1" applyAlignment="1" applyProtection="1">
      <alignment/>
      <protection hidden="1"/>
    </xf>
    <xf numFmtId="9" fontId="1" fillId="37" borderId="29" xfId="0" applyNumberFormat="1" applyFont="1" applyFill="1" applyBorder="1" applyAlignment="1" applyProtection="1">
      <alignment horizontal="center"/>
      <protection hidden="1"/>
    </xf>
    <xf numFmtId="1" fontId="7" fillId="37" borderId="30" xfId="0" applyNumberFormat="1" applyFont="1" applyFill="1" applyBorder="1" applyAlignment="1" applyProtection="1">
      <alignment/>
      <protection hidden="1"/>
    </xf>
    <xf numFmtId="0" fontId="1" fillId="38" borderId="28" xfId="0" applyFont="1" applyFill="1" applyBorder="1" applyAlignment="1" applyProtection="1">
      <alignment horizontal="right"/>
      <protection hidden="1"/>
    </xf>
    <xf numFmtId="1" fontId="7" fillId="38" borderId="29" xfId="0" applyNumberFormat="1" applyFont="1" applyFill="1" applyBorder="1" applyAlignment="1" applyProtection="1">
      <alignment/>
      <protection hidden="1"/>
    </xf>
    <xf numFmtId="9" fontId="1" fillId="38" borderId="29" xfId="0" applyNumberFormat="1" applyFont="1" applyFill="1" applyBorder="1" applyAlignment="1" applyProtection="1">
      <alignment horizontal="center"/>
      <protection hidden="1"/>
    </xf>
    <xf numFmtId="1" fontId="7" fillId="38" borderId="30" xfId="0" applyNumberFormat="1" applyFont="1" applyFill="1" applyBorder="1" applyAlignment="1" applyProtection="1">
      <alignment/>
      <protection hidden="1"/>
    </xf>
    <xf numFmtId="0" fontId="18" fillId="39" borderId="12" xfId="0" applyFont="1" applyFill="1" applyBorder="1" applyAlignment="1" applyProtection="1">
      <alignment horizontal="right"/>
      <protection hidden="1"/>
    </xf>
    <xf numFmtId="1" fontId="19" fillId="39" borderId="32" xfId="0" applyNumberFormat="1" applyFont="1" applyFill="1" applyBorder="1" applyAlignment="1" applyProtection="1">
      <alignment/>
      <protection hidden="1"/>
    </xf>
    <xf numFmtId="9" fontId="18" fillId="39" borderId="3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34" borderId="37" xfId="0" applyFont="1" applyFill="1" applyBorder="1" applyAlignment="1" applyProtection="1">
      <alignment/>
      <protection hidden="1"/>
    </xf>
    <xf numFmtId="0" fontId="7" fillId="33" borderId="37" xfId="0" applyFont="1" applyFill="1" applyBorder="1" applyAlignment="1" applyProtection="1">
      <alignment/>
      <protection hidden="1"/>
    </xf>
    <xf numFmtId="0" fontId="7" fillId="37" borderId="37" xfId="0" applyFont="1" applyFill="1" applyBorder="1" applyAlignment="1" applyProtection="1">
      <alignment/>
      <protection hidden="1"/>
    </xf>
    <xf numFmtId="0" fontId="7" fillId="38" borderId="26" xfId="0" applyFont="1" applyFill="1" applyBorder="1" applyAlignment="1" applyProtection="1">
      <alignment/>
      <protection hidden="1"/>
    </xf>
    <xf numFmtId="1" fontId="23" fillId="45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46" borderId="18" xfId="0" applyFont="1" applyFill="1" applyBorder="1" applyAlignment="1">
      <alignment horizontal="center"/>
    </xf>
    <xf numFmtId="3" fontId="4" fillId="46" borderId="40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1" fontId="3" fillId="47" borderId="18" xfId="0" applyNumberFormat="1" applyFont="1" applyFill="1" applyBorder="1" applyAlignment="1">
      <alignment horizontal="center"/>
    </xf>
    <xf numFmtId="1" fontId="3" fillId="43" borderId="18" xfId="0" applyNumberFormat="1" applyFont="1" applyFill="1" applyBorder="1" applyAlignment="1">
      <alignment horizontal="center"/>
    </xf>
    <xf numFmtId="0" fontId="1" fillId="43" borderId="18" xfId="0" applyFont="1" applyFill="1" applyBorder="1" applyAlignment="1">
      <alignment horizontal="center"/>
    </xf>
    <xf numFmtId="0" fontId="1" fillId="47" borderId="18" xfId="0" applyFont="1" applyFill="1" applyBorder="1" applyAlignment="1">
      <alignment horizontal="center"/>
    </xf>
    <xf numFmtId="0" fontId="2" fillId="46" borderId="33" xfId="0" applyFont="1" applyFill="1" applyBorder="1" applyAlignment="1">
      <alignment/>
    </xf>
    <xf numFmtId="0" fontId="2" fillId="46" borderId="41" xfId="0" applyFont="1" applyFill="1" applyBorder="1" applyAlignment="1">
      <alignment/>
    </xf>
    <xf numFmtId="0" fontId="2" fillId="46" borderId="23" xfId="0" applyFont="1" applyFill="1" applyBorder="1" applyAlignment="1">
      <alignment/>
    </xf>
    <xf numFmtId="0" fontId="2" fillId="46" borderId="18" xfId="0" applyFont="1" applyFill="1" applyBorder="1" applyAlignment="1">
      <alignment horizontal="center"/>
    </xf>
    <xf numFmtId="1" fontId="3" fillId="46" borderId="3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46" borderId="42" xfId="0" applyNumberFormat="1" applyFont="1" applyFill="1" applyBorder="1" applyAlignment="1" applyProtection="1">
      <alignment horizontal="center" wrapText="1" shrinkToFit="1"/>
      <protection locked="0"/>
    </xf>
    <xf numFmtId="3" fontId="4" fillId="46" borderId="38" xfId="0" applyNumberFormat="1" applyFont="1" applyFill="1" applyBorder="1" applyAlignment="1" applyProtection="1">
      <alignment horizontal="center" wrapText="1" shrinkToFit="1"/>
      <protection locked="0"/>
    </xf>
    <xf numFmtId="3" fontId="4" fillId="46" borderId="43" xfId="0" applyNumberFormat="1" applyFont="1" applyFill="1" applyBorder="1" applyAlignment="1" applyProtection="1">
      <alignment horizontal="center" wrapText="1" shrinkToFit="1"/>
      <protection locked="0"/>
    </xf>
    <xf numFmtId="3" fontId="4" fillId="46" borderId="40" xfId="0" applyNumberFormat="1" applyFont="1" applyFill="1" applyBorder="1" applyAlignment="1" applyProtection="1">
      <alignment horizontal="center" wrapText="1" shrinkToFit="1"/>
      <protection locked="0"/>
    </xf>
    <xf numFmtId="1" fontId="4" fillId="48" borderId="18" xfId="0" applyNumberFormat="1" applyFont="1" applyFill="1" applyBorder="1" applyAlignment="1">
      <alignment horizontal="center"/>
    </xf>
    <xf numFmtId="0" fontId="2" fillId="49" borderId="18" xfId="0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 wrapText="1" shrinkToFit="1"/>
    </xf>
    <xf numFmtId="1" fontId="8" fillId="0" borderId="44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3" fontId="4" fillId="43" borderId="45" xfId="0" applyNumberFormat="1" applyFont="1" applyFill="1" applyBorder="1" applyAlignment="1" applyProtection="1">
      <alignment horizontal="center"/>
      <protection locked="0"/>
    </xf>
    <xf numFmtId="3" fontId="4" fillId="43" borderId="46" xfId="0" applyNumberFormat="1" applyFont="1" applyFill="1" applyBorder="1" applyAlignment="1" applyProtection="1">
      <alignment horizontal="center"/>
      <protection locked="0"/>
    </xf>
    <xf numFmtId="3" fontId="4" fillId="47" borderId="46" xfId="0" applyNumberFormat="1" applyFont="1" applyFill="1" applyBorder="1" applyAlignment="1" applyProtection="1">
      <alignment horizontal="center"/>
      <protection locked="0"/>
    </xf>
    <xf numFmtId="1" fontId="20" fillId="40" borderId="14" xfId="0" applyNumberFormat="1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>
      <alignment horizontal="center" vertical="center" wrapText="1"/>
    </xf>
    <xf numFmtId="3" fontId="23" fillId="48" borderId="46" xfId="0" applyNumberFormat="1" applyFont="1" applyFill="1" applyBorder="1" applyAlignment="1" applyProtection="1">
      <alignment horizontal="center" wrapText="1" shrinkToFit="1"/>
      <protection locked="0"/>
    </xf>
    <xf numFmtId="3" fontId="23" fillId="48" borderId="39" xfId="0" applyNumberFormat="1" applyFont="1" applyFill="1" applyBorder="1" applyAlignment="1" applyProtection="1">
      <alignment horizontal="center" wrapText="1" shrinkToFit="1"/>
      <protection locked="0"/>
    </xf>
    <xf numFmtId="3" fontId="23" fillId="48" borderId="38" xfId="0" applyNumberFormat="1" applyFont="1" applyFill="1" applyBorder="1" applyAlignment="1" applyProtection="1">
      <alignment horizontal="center"/>
      <protection locked="0"/>
    </xf>
    <xf numFmtId="0" fontId="7" fillId="46" borderId="20" xfId="0" applyFont="1" applyFill="1" applyBorder="1" applyAlignment="1">
      <alignment horizontal="center"/>
    </xf>
    <xf numFmtId="0" fontId="7" fillId="46" borderId="20" xfId="0" applyFont="1" applyFill="1" applyBorder="1" applyAlignment="1">
      <alignment/>
    </xf>
    <xf numFmtId="1" fontId="2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2" fillId="44" borderId="18" xfId="0" applyFont="1" applyFill="1" applyBorder="1" applyAlignment="1">
      <alignment/>
    </xf>
    <xf numFmtId="1" fontId="3" fillId="44" borderId="18" xfId="0" applyNumberFormat="1" applyFont="1" applyFill="1" applyBorder="1" applyAlignment="1">
      <alignment horizontal="center"/>
    </xf>
    <xf numFmtId="0" fontId="7" fillId="42" borderId="38" xfId="0" applyFont="1" applyFill="1" applyBorder="1" applyAlignment="1">
      <alignment horizontal="center" vertical="center"/>
    </xf>
    <xf numFmtId="3" fontId="4" fillId="42" borderId="38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3" fontId="1" fillId="0" borderId="18" xfId="0" applyNumberFormat="1" applyFont="1" applyBorder="1" applyAlignment="1" applyProtection="1">
      <alignment horizontal="center"/>
      <protection/>
    </xf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 hidden="1"/>
    </xf>
    <xf numFmtId="3" fontId="1" fillId="33" borderId="47" xfId="0" applyNumberFormat="1" applyFont="1" applyFill="1" applyBorder="1" applyAlignment="1" applyProtection="1">
      <alignment horizontal="right"/>
      <protection hidden="1"/>
    </xf>
    <xf numFmtId="0" fontId="2" fillId="36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50" borderId="38" xfId="0" applyNumberFormat="1" applyFont="1" applyFill="1" applyBorder="1" applyAlignment="1" applyProtection="1">
      <alignment horizontal="center" vertical="center"/>
      <protection locked="0"/>
    </xf>
    <xf numFmtId="1" fontId="8" fillId="41" borderId="48" xfId="0" applyNumberFormat="1" applyFont="1" applyFill="1" applyBorder="1" applyAlignment="1">
      <alignment horizontal="center" vertical="center" shrinkToFit="1"/>
    </xf>
    <xf numFmtId="3" fontId="9" fillId="51" borderId="38" xfId="0" applyNumberFormat="1" applyFont="1" applyFill="1" applyBorder="1" applyAlignment="1" applyProtection="1">
      <alignment horizontal="center"/>
      <protection locked="0"/>
    </xf>
    <xf numFmtId="1" fontId="5" fillId="41" borderId="33" xfId="0" applyNumberFormat="1" applyFont="1" applyFill="1" applyBorder="1" applyAlignment="1">
      <alignment horizontal="center"/>
    </xf>
    <xf numFmtId="0" fontId="17" fillId="41" borderId="48" xfId="0" applyFont="1" applyFill="1" applyBorder="1" applyAlignment="1">
      <alignment horizontal="center" vertical="center" wrapText="1" shrinkToFit="1"/>
    </xf>
    <xf numFmtId="0" fontId="5" fillId="41" borderId="33" xfId="0" applyFont="1" applyFill="1" applyBorder="1" applyAlignment="1">
      <alignment horizontal="center"/>
    </xf>
    <xf numFmtId="1" fontId="1" fillId="46" borderId="37" xfId="0" applyNumberFormat="1" applyFont="1" applyFill="1" applyBorder="1" applyAlignment="1">
      <alignment horizontal="center"/>
    </xf>
    <xf numFmtId="1" fontId="3" fillId="46" borderId="26" xfId="0" applyNumberFormat="1" applyFont="1" applyFill="1" applyBorder="1" applyAlignment="1">
      <alignment horizontal="center"/>
    </xf>
    <xf numFmtId="1" fontId="2" fillId="47" borderId="18" xfId="0" applyNumberFormat="1" applyFont="1" applyFill="1" applyBorder="1" applyAlignment="1">
      <alignment horizontal="center"/>
    </xf>
    <xf numFmtId="1" fontId="1" fillId="49" borderId="24" xfId="0" applyNumberFormat="1" applyFont="1" applyFill="1" applyBorder="1" applyAlignment="1">
      <alignment horizontal="center"/>
    </xf>
    <xf numFmtId="1" fontId="1" fillId="49" borderId="37" xfId="0" applyNumberFormat="1" applyFont="1" applyFill="1" applyBorder="1" applyAlignment="1">
      <alignment horizontal="center"/>
    </xf>
    <xf numFmtId="1" fontId="1" fillId="49" borderId="49" xfId="0" applyNumberFormat="1" applyFont="1" applyFill="1" applyBorder="1" applyAlignment="1">
      <alignment horizontal="center"/>
    </xf>
    <xf numFmtId="1" fontId="3" fillId="49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" fontId="3" fillId="52" borderId="18" xfId="0" applyNumberFormat="1" applyFont="1" applyFill="1" applyBorder="1" applyAlignment="1" applyProtection="1">
      <alignment horizontal="center"/>
      <protection hidden="1"/>
    </xf>
    <xf numFmtId="3" fontId="3" fillId="53" borderId="18" xfId="0" applyNumberFormat="1" applyFont="1" applyFill="1" applyBorder="1" applyAlignment="1" applyProtection="1">
      <alignment horizontal="center"/>
      <protection hidden="1"/>
    </xf>
    <xf numFmtId="3" fontId="3" fillId="41" borderId="18" xfId="0" applyNumberFormat="1" applyFont="1" applyFill="1" applyBorder="1" applyAlignment="1" applyProtection="1">
      <alignment horizontal="center"/>
      <protection hidden="1"/>
    </xf>
    <xf numFmtId="3" fontId="23" fillId="54" borderId="38" xfId="0" applyNumberFormat="1" applyFont="1" applyFill="1" applyBorder="1" applyAlignment="1" applyProtection="1">
      <alignment horizontal="center" vertical="center"/>
      <protection locked="0"/>
    </xf>
    <xf numFmtId="3" fontId="20" fillId="54" borderId="50" xfId="0" applyNumberFormat="1" applyFont="1" applyFill="1" applyBorder="1" applyAlignment="1" applyProtection="1">
      <alignment horizontal="center"/>
      <protection hidden="1"/>
    </xf>
    <xf numFmtId="3" fontId="4" fillId="34" borderId="38" xfId="0" applyNumberFormat="1" applyFont="1" applyFill="1" applyBorder="1" applyAlignment="1" applyProtection="1">
      <alignment horizontal="center" vertical="center"/>
      <protection locked="0"/>
    </xf>
    <xf numFmtId="3" fontId="3" fillId="46" borderId="18" xfId="0" applyNumberFormat="1" applyFont="1" applyFill="1" applyBorder="1" applyAlignment="1">
      <alignment horizontal="center"/>
    </xf>
    <xf numFmtId="1" fontId="2" fillId="46" borderId="18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1" fontId="23" fillId="49" borderId="25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3" fillId="50" borderId="18" xfId="0" applyNumberFormat="1" applyFont="1" applyFill="1" applyBorder="1" applyAlignment="1" applyProtection="1">
      <alignment horizontal="center"/>
      <protection hidden="1"/>
    </xf>
    <xf numFmtId="3" fontId="3" fillId="52" borderId="18" xfId="0" applyNumberFormat="1" applyFont="1" applyFill="1" applyBorder="1" applyAlignment="1" applyProtection="1">
      <alignment horizontal="center"/>
      <protection hidden="1"/>
    </xf>
    <xf numFmtId="0" fontId="2" fillId="52" borderId="0" xfId="0" applyFont="1" applyFill="1" applyBorder="1" applyAlignment="1">
      <alignment horizontal="left" vertical="center"/>
    </xf>
    <xf numFmtId="1" fontId="4" fillId="55" borderId="25" xfId="0" applyNumberFormat="1" applyFont="1" applyFill="1" applyBorder="1" applyAlignment="1" applyProtection="1">
      <alignment horizontal="center"/>
      <protection hidden="1"/>
    </xf>
    <xf numFmtId="1" fontId="19" fillId="39" borderId="14" xfId="0" applyNumberFormat="1" applyFont="1" applyFill="1" applyBorder="1" applyAlignment="1" applyProtection="1">
      <alignment/>
      <protection hidden="1"/>
    </xf>
    <xf numFmtId="1" fontId="16" fillId="52" borderId="38" xfId="0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9" fontId="18" fillId="40" borderId="31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2" fillId="44" borderId="18" xfId="0" applyFont="1" applyFill="1" applyBorder="1" applyAlignment="1">
      <alignment horizontal="center"/>
    </xf>
    <xf numFmtId="3" fontId="6" fillId="56" borderId="38" xfId="0" applyNumberFormat="1" applyFont="1" applyFill="1" applyBorder="1" applyAlignment="1" applyProtection="1">
      <alignment horizontal="center" vertical="center"/>
      <protection hidden="1"/>
    </xf>
    <xf numFmtId="3" fontId="16" fillId="52" borderId="38" xfId="0" applyNumberFormat="1" applyFont="1" applyFill="1" applyBorder="1" applyAlignment="1" applyProtection="1">
      <alignment horizontal="center"/>
      <protection hidden="1"/>
    </xf>
    <xf numFmtId="0" fontId="2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1" fillId="43" borderId="18" xfId="0" applyFont="1" applyFill="1" applyBorder="1" applyAlignment="1">
      <alignment/>
    </xf>
    <xf numFmtId="0" fontId="3" fillId="43" borderId="18" xfId="0" applyFont="1" applyFill="1" applyBorder="1" applyAlignment="1">
      <alignment horizontal="center"/>
    </xf>
    <xf numFmtId="0" fontId="1" fillId="53" borderId="18" xfId="0" applyFont="1" applyFill="1" applyBorder="1" applyAlignment="1">
      <alignment horizontal="center"/>
    </xf>
    <xf numFmtId="3" fontId="1" fillId="53" borderId="18" xfId="0" applyNumberFormat="1" applyFont="1" applyFill="1" applyBorder="1" applyAlignment="1">
      <alignment horizontal="center"/>
    </xf>
    <xf numFmtId="3" fontId="1" fillId="41" borderId="18" xfId="0" applyNumberFormat="1" applyFont="1" applyFill="1" applyBorder="1" applyAlignment="1">
      <alignment horizontal="center"/>
    </xf>
    <xf numFmtId="3" fontId="2" fillId="37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6" fillId="33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55" borderId="18" xfId="0" applyNumberFormat="1" applyFont="1" applyFill="1" applyBorder="1" applyAlignment="1">
      <alignment horizontal="center"/>
    </xf>
    <xf numFmtId="3" fontId="3" fillId="52" borderId="18" xfId="0" applyNumberFormat="1" applyFont="1" applyFill="1" applyBorder="1" applyAlignment="1">
      <alignment horizontal="center"/>
    </xf>
    <xf numFmtId="3" fontId="6" fillId="36" borderId="3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/>
      <protection locked="0"/>
    </xf>
    <xf numFmtId="1" fontId="33" fillId="0" borderId="0" xfId="0" applyNumberFormat="1" applyFont="1" applyFill="1" applyBorder="1" applyAlignment="1" applyProtection="1">
      <alignment horizontal="center"/>
      <protection hidden="1"/>
    </xf>
    <xf numFmtId="0" fontId="2" fillId="36" borderId="46" xfId="0" applyFont="1" applyFill="1" applyBorder="1" applyAlignment="1">
      <alignment horizontal="center" vertical="center"/>
    </xf>
    <xf numFmtId="1" fontId="23" fillId="49" borderId="53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0" fontId="18" fillId="57" borderId="0" xfId="0" applyFont="1" applyFill="1" applyBorder="1" applyAlignment="1">
      <alignment/>
    </xf>
    <xf numFmtId="9" fontId="18" fillId="57" borderId="0" xfId="0" applyNumberFormat="1" applyFont="1" applyFill="1" applyBorder="1" applyAlignment="1">
      <alignment/>
    </xf>
    <xf numFmtId="1" fontId="20" fillId="57" borderId="14" xfId="0" applyNumberFormat="1" applyFont="1" applyFill="1" applyBorder="1" applyAlignment="1" applyProtection="1">
      <alignment/>
      <protection hidden="1"/>
    </xf>
    <xf numFmtId="3" fontId="1" fillId="34" borderId="25" xfId="0" applyNumberFormat="1" applyFont="1" applyFill="1" applyBorder="1" applyAlignment="1" applyProtection="1">
      <alignment horizontal="center"/>
      <protection hidden="1"/>
    </xf>
    <xf numFmtId="3" fontId="1" fillId="33" borderId="18" xfId="0" applyNumberFormat="1" applyFont="1" applyFill="1" applyBorder="1" applyAlignment="1" applyProtection="1">
      <alignment horizontal="center"/>
      <protection hidden="1"/>
    </xf>
    <xf numFmtId="3" fontId="1" fillId="37" borderId="18" xfId="0" applyNumberFormat="1" applyFont="1" applyFill="1" applyBorder="1" applyAlignment="1" applyProtection="1">
      <alignment horizontal="center"/>
      <protection hidden="1"/>
    </xf>
    <xf numFmtId="3" fontId="1" fillId="38" borderId="18" xfId="0" applyNumberFormat="1" applyFont="1" applyFill="1" applyBorder="1" applyAlignment="1" applyProtection="1">
      <alignment horizontal="center"/>
      <protection hidden="1"/>
    </xf>
    <xf numFmtId="3" fontId="18" fillId="39" borderId="26" xfId="0" applyNumberFormat="1" applyFont="1" applyFill="1" applyBorder="1" applyAlignment="1" applyProtection="1">
      <alignment horizontal="center"/>
      <protection hidden="1"/>
    </xf>
    <xf numFmtId="3" fontId="1" fillId="34" borderId="27" xfId="0" applyNumberFormat="1" applyFont="1" applyFill="1" applyBorder="1" applyAlignment="1" applyProtection="1">
      <alignment/>
      <protection hidden="1"/>
    </xf>
    <xf numFmtId="3" fontId="1" fillId="33" borderId="29" xfId="0" applyNumberFormat="1" applyFont="1" applyFill="1" applyBorder="1" applyAlignment="1" applyProtection="1">
      <alignment/>
      <protection hidden="1"/>
    </xf>
    <xf numFmtId="3" fontId="1" fillId="37" borderId="29" xfId="0" applyNumberFormat="1" applyFont="1" applyFill="1" applyBorder="1" applyAlignment="1" applyProtection="1">
      <alignment/>
      <protection hidden="1"/>
    </xf>
    <xf numFmtId="3" fontId="1" fillId="38" borderId="29" xfId="0" applyNumberFormat="1" applyFont="1" applyFill="1" applyBorder="1" applyAlignment="1" applyProtection="1">
      <alignment/>
      <protection hidden="1"/>
    </xf>
    <xf numFmtId="3" fontId="18" fillId="39" borderId="31" xfId="0" applyNumberFormat="1" applyFont="1" applyFill="1" applyBorder="1" applyAlignment="1" applyProtection="1">
      <alignment/>
      <protection hidden="1"/>
    </xf>
    <xf numFmtId="3" fontId="18" fillId="40" borderId="31" xfId="0" applyNumberFormat="1" applyFont="1" applyFill="1" applyBorder="1" applyAlignment="1" applyProtection="1">
      <alignment/>
      <protection hidden="1"/>
    </xf>
    <xf numFmtId="3" fontId="18" fillId="57" borderId="31" xfId="0" applyNumberFormat="1" applyFont="1" applyFill="1" applyBorder="1" applyAlignment="1" applyProtection="1">
      <alignment/>
      <protection hidden="1"/>
    </xf>
    <xf numFmtId="3" fontId="18" fillId="40" borderId="26" xfId="0" applyNumberFormat="1" applyFont="1" applyFill="1" applyBorder="1" applyAlignment="1" applyProtection="1">
      <alignment horizontal="center"/>
      <protection hidden="1"/>
    </xf>
    <xf numFmtId="3" fontId="4" fillId="58" borderId="38" xfId="0" applyNumberFormat="1" applyFont="1" applyFill="1" applyBorder="1" applyAlignment="1" applyProtection="1">
      <alignment horizontal="center" vertical="center"/>
      <protection locked="0"/>
    </xf>
    <xf numFmtId="3" fontId="4" fillId="59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0" fontId="1" fillId="33" borderId="34" xfId="0" applyFont="1" applyFill="1" applyBorder="1" applyAlignment="1" applyProtection="1">
      <alignment horizontal="right"/>
      <protection hidden="1"/>
    </xf>
    <xf numFmtId="0" fontId="1" fillId="60" borderId="0" xfId="0" applyFont="1" applyFill="1" applyBorder="1" applyAlignment="1">
      <alignment horizontal="center"/>
    </xf>
    <xf numFmtId="0" fontId="1" fillId="60" borderId="0" xfId="0" applyFont="1" applyFill="1" applyBorder="1" applyAlignment="1" applyProtection="1">
      <alignment horizontal="right"/>
      <protection hidden="1"/>
    </xf>
    <xf numFmtId="1" fontId="7" fillId="33" borderId="35" xfId="0" applyNumberFormat="1" applyFont="1" applyFill="1" applyBorder="1" applyAlignment="1" applyProtection="1">
      <alignment/>
      <protection hidden="1"/>
    </xf>
    <xf numFmtId="9" fontId="1" fillId="33" borderId="35" xfId="0" applyNumberFormat="1" applyFont="1" applyFill="1" applyBorder="1" applyAlignment="1" applyProtection="1">
      <alignment horizontal="center"/>
      <protection hidden="1"/>
    </xf>
    <xf numFmtId="1" fontId="7" fillId="33" borderId="36" xfId="0" applyNumberFormat="1" applyFont="1" applyFill="1" applyBorder="1" applyAlignment="1" applyProtection="1">
      <alignment/>
      <protection hidden="1"/>
    </xf>
    <xf numFmtId="0" fontId="1" fillId="36" borderId="33" xfId="0" applyFont="1" applyFill="1" applyBorder="1" applyAlignment="1">
      <alignment horizontal="center"/>
    </xf>
    <xf numFmtId="0" fontId="7" fillId="33" borderId="55" xfId="0" applyFont="1" applyFill="1" applyBorder="1" applyAlignment="1" applyProtection="1">
      <alignment/>
      <protection hidden="1"/>
    </xf>
    <xf numFmtId="0" fontId="0" fillId="60" borderId="0" xfId="0" applyFill="1" applyAlignment="1">
      <alignment/>
    </xf>
    <xf numFmtId="0" fontId="2" fillId="60" borderId="0" xfId="0" applyFont="1" applyFill="1" applyBorder="1" applyAlignment="1">
      <alignment horizontal="center"/>
    </xf>
    <xf numFmtId="3" fontId="6" fillId="60" borderId="0" xfId="0" applyNumberFormat="1" applyFont="1" applyFill="1" applyBorder="1" applyAlignment="1" applyProtection="1">
      <alignment horizontal="center" vertical="center"/>
      <protection hidden="1"/>
    </xf>
    <xf numFmtId="0" fontId="20" fillId="60" borderId="0" xfId="0" applyFont="1" applyFill="1" applyBorder="1" applyAlignment="1">
      <alignment horizontal="center" vertical="center"/>
    </xf>
    <xf numFmtId="1" fontId="23" fillId="60" borderId="0" xfId="0" applyNumberFormat="1" applyFont="1" applyFill="1" applyBorder="1" applyAlignment="1" applyProtection="1">
      <alignment horizontal="center" vertical="center"/>
      <protection hidden="1"/>
    </xf>
    <xf numFmtId="3" fontId="3" fillId="61" borderId="18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46" borderId="20" xfId="0" applyFont="1" applyFill="1" applyBorder="1" applyAlignment="1">
      <alignment horizontal="center"/>
    </xf>
    <xf numFmtId="0" fontId="6" fillId="46" borderId="33" xfId="0" applyFont="1" applyFill="1" applyBorder="1" applyAlignment="1">
      <alignment horizontal="center" vertical="center"/>
    </xf>
    <xf numFmtId="0" fontId="6" fillId="60" borderId="0" xfId="0" applyFont="1" applyFill="1" applyBorder="1" applyAlignment="1">
      <alignment horizontal="center" vertical="center"/>
    </xf>
    <xf numFmtId="0" fontId="16" fillId="60" borderId="0" xfId="0" applyFont="1" applyFill="1" applyBorder="1" applyAlignment="1">
      <alignment horizontal="center" vertical="center"/>
    </xf>
    <xf numFmtId="3" fontId="28" fillId="60" borderId="0" xfId="0" applyNumberFormat="1" applyFont="1" applyFill="1" applyBorder="1" applyAlignment="1" applyProtection="1">
      <alignment horizontal="center" vertical="center"/>
      <protection hidden="1"/>
    </xf>
    <xf numFmtId="3" fontId="16" fillId="62" borderId="18" xfId="0" applyNumberFormat="1" applyFont="1" applyFill="1" applyBorder="1" applyAlignment="1">
      <alignment horizontal="center" vertical="center"/>
    </xf>
    <xf numFmtId="0" fontId="3" fillId="61" borderId="18" xfId="0" applyFont="1" applyFill="1" applyBorder="1" applyAlignment="1">
      <alignment horizontal="center" vertical="center"/>
    </xf>
    <xf numFmtId="3" fontId="16" fillId="61" borderId="18" xfId="0" applyNumberFormat="1" applyFont="1" applyFill="1" applyBorder="1" applyAlignment="1">
      <alignment horizontal="center" vertical="center"/>
    </xf>
    <xf numFmtId="3" fontId="35" fillId="49" borderId="38" xfId="0" applyNumberFormat="1" applyFont="1" applyFill="1" applyBorder="1" applyAlignment="1" applyProtection="1">
      <alignment horizontal="center" vertical="center"/>
      <protection hidden="1"/>
    </xf>
    <xf numFmtId="3" fontId="16" fillId="60" borderId="0" xfId="0" applyNumberFormat="1" applyFont="1" applyFill="1" applyBorder="1" applyAlignment="1">
      <alignment horizontal="center" vertical="center"/>
    </xf>
    <xf numFmtId="3" fontId="32" fillId="60" borderId="0" xfId="0" applyNumberFormat="1" applyFont="1" applyFill="1" applyBorder="1" applyAlignment="1" applyProtection="1">
      <alignment horizontal="center" vertical="center"/>
      <protection hidden="1"/>
    </xf>
    <xf numFmtId="3" fontId="4" fillId="60" borderId="0" xfId="0" applyNumberFormat="1" applyFont="1" applyFill="1" applyBorder="1" applyAlignment="1">
      <alignment horizontal="center" vertical="center"/>
    </xf>
    <xf numFmtId="3" fontId="4" fillId="60" borderId="41" xfId="0" applyNumberFormat="1" applyFont="1" applyFill="1" applyBorder="1" applyAlignment="1">
      <alignment horizontal="center" vertical="center"/>
    </xf>
    <xf numFmtId="3" fontId="6" fillId="60" borderId="0" xfId="0" applyNumberFormat="1" applyFont="1" applyFill="1" applyBorder="1" applyAlignment="1">
      <alignment horizontal="center" vertical="center"/>
    </xf>
    <xf numFmtId="3" fontId="16" fillId="63" borderId="18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37" fillId="0" borderId="18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63" borderId="18" xfId="0" applyFont="1" applyFill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1" fillId="0" borderId="57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3" fillId="60" borderId="0" xfId="0" applyFont="1" applyFill="1" applyBorder="1" applyAlignment="1">
      <alignment horizontal="center"/>
    </xf>
    <xf numFmtId="3" fontId="16" fillId="6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" fontId="7" fillId="60" borderId="0" xfId="0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59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3" fontId="1" fillId="0" borderId="6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9" fontId="1" fillId="36" borderId="18" xfId="0" applyNumberFormat="1" applyFont="1" applyFill="1" applyBorder="1" applyAlignment="1">
      <alignment horizontal="center"/>
    </xf>
    <xf numFmtId="3" fontId="7" fillId="36" borderId="48" xfId="0" applyNumberFormat="1" applyFont="1" applyFill="1" applyBorder="1" applyAlignment="1">
      <alignment horizontal="center"/>
    </xf>
    <xf numFmtId="3" fontId="7" fillId="36" borderId="23" xfId="0" applyNumberFormat="1" applyFont="1" applyFill="1" applyBorder="1" applyAlignment="1">
      <alignment horizontal="center"/>
    </xf>
    <xf numFmtId="1" fontId="2" fillId="61" borderId="18" xfId="0" applyNumberFormat="1" applyFont="1" applyFill="1" applyBorder="1" applyAlignment="1">
      <alignment horizontal="center"/>
    </xf>
    <xf numFmtId="3" fontId="1" fillId="64" borderId="18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65" borderId="18" xfId="0" applyFill="1" applyBorder="1" applyAlignment="1">
      <alignment/>
    </xf>
    <xf numFmtId="0" fontId="1" fillId="66" borderId="18" xfId="0" applyFont="1" applyFill="1" applyBorder="1" applyAlignment="1">
      <alignment horizontal="center"/>
    </xf>
    <xf numFmtId="1" fontId="0" fillId="0" borderId="29" xfId="0" applyNumberFormat="1" applyBorder="1" applyAlignment="1">
      <alignment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36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7" borderId="0" xfId="0" applyFont="1" applyFill="1" applyBorder="1" applyAlignment="1" applyProtection="1">
      <alignment/>
      <protection hidden="1"/>
    </xf>
    <xf numFmtId="0" fontId="7" fillId="38" borderId="0" xfId="0" applyFont="1" applyFill="1" applyBorder="1" applyAlignment="1" applyProtection="1">
      <alignment/>
      <protection hidden="1"/>
    </xf>
    <xf numFmtId="0" fontId="0" fillId="6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Border="1" applyAlignment="1">
      <alignment horizontal="center"/>
    </xf>
    <xf numFmtId="0" fontId="7" fillId="60" borderId="0" xfId="0" applyFont="1" applyFill="1" applyBorder="1" applyAlignment="1" applyProtection="1">
      <alignment/>
      <protection hidden="1"/>
    </xf>
    <xf numFmtId="3" fontId="0" fillId="60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3" fontId="6" fillId="56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>
      <alignment horizontal="center"/>
    </xf>
    <xf numFmtId="3" fontId="3" fillId="60" borderId="0" xfId="0" applyNumberFormat="1" applyFont="1" applyFill="1" applyBorder="1" applyAlignment="1">
      <alignment horizontal="center"/>
    </xf>
    <xf numFmtId="3" fontId="7" fillId="67" borderId="48" xfId="0" applyNumberFormat="1" applyFont="1" applyFill="1" applyBorder="1" applyAlignment="1" applyProtection="1">
      <alignment horizontal="center"/>
      <protection hidden="1"/>
    </xf>
    <xf numFmtId="9" fontId="1" fillId="67" borderId="18" xfId="0" applyNumberFormat="1" applyFont="1" applyFill="1" applyBorder="1" applyAlignment="1" applyProtection="1">
      <alignment horizontal="center"/>
      <protection hidden="1"/>
    </xf>
    <xf numFmtId="3" fontId="7" fillId="67" borderId="18" xfId="0" applyNumberFormat="1" applyFont="1" applyFill="1" applyBorder="1" applyAlignment="1" applyProtection="1">
      <alignment horizontal="center"/>
      <protection hidden="1"/>
    </xf>
    <xf numFmtId="3" fontId="1" fillId="0" borderId="63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0" fontId="1" fillId="38" borderId="11" xfId="0" applyFont="1" applyFill="1" applyBorder="1" applyAlignment="1">
      <alignment/>
    </xf>
    <xf numFmtId="3" fontId="1" fillId="38" borderId="31" xfId="0" applyNumberFormat="1" applyFont="1" applyFill="1" applyBorder="1" applyAlignment="1" applyProtection="1">
      <alignment/>
      <protection hidden="1"/>
    </xf>
    <xf numFmtId="9" fontId="1" fillId="38" borderId="31" xfId="0" applyNumberFormat="1" applyFont="1" applyFill="1" applyBorder="1" applyAlignment="1">
      <alignment/>
    </xf>
    <xf numFmtId="3" fontId="1" fillId="38" borderId="20" xfId="0" applyNumberFormat="1" applyFont="1" applyFill="1" applyBorder="1" applyAlignment="1" applyProtection="1">
      <alignment horizontal="center"/>
      <protection hidden="1"/>
    </xf>
    <xf numFmtId="0" fontId="21" fillId="60" borderId="0" xfId="0" applyFont="1" applyFill="1" applyBorder="1" applyAlignment="1">
      <alignment horizontal="center" vertical="center"/>
    </xf>
    <xf numFmtId="3" fontId="16" fillId="11" borderId="18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3" fillId="15" borderId="0" xfId="0" applyNumberFormat="1" applyFont="1" applyFill="1" applyBorder="1" applyAlignment="1">
      <alignment horizontal="center"/>
    </xf>
    <xf numFmtId="0" fontId="2" fillId="62" borderId="18" xfId="0" applyFont="1" applyFill="1" applyBorder="1" applyAlignment="1">
      <alignment horizontal="center" vertical="center"/>
    </xf>
    <xf numFmtId="0" fontId="30" fillId="52" borderId="68" xfId="0" applyFont="1" applyFill="1" applyBorder="1" applyAlignment="1">
      <alignment horizontal="center" vertical="center"/>
    </xf>
    <xf numFmtId="3" fontId="30" fillId="36" borderId="69" xfId="0" applyNumberFormat="1" applyFont="1" applyFill="1" applyBorder="1" applyAlignment="1" applyProtection="1">
      <alignment horizontal="center" vertical="center"/>
      <protection hidden="1"/>
    </xf>
    <xf numFmtId="0" fontId="30" fillId="52" borderId="38" xfId="0" applyFont="1" applyFill="1" applyBorder="1" applyAlignment="1">
      <alignment horizontal="center" vertical="center"/>
    </xf>
    <xf numFmtId="3" fontId="30" fillId="36" borderId="38" xfId="0" applyNumberFormat="1" applyFont="1" applyFill="1" applyBorder="1" applyAlignment="1" applyProtection="1">
      <alignment horizontal="center" vertical="center"/>
      <protection hidden="1"/>
    </xf>
    <xf numFmtId="3" fontId="28" fillId="33" borderId="42" xfId="0" applyNumberFormat="1" applyFont="1" applyFill="1" applyBorder="1" applyAlignment="1" applyProtection="1">
      <alignment horizontal="center" vertical="center"/>
      <protection hidden="1"/>
    </xf>
    <xf numFmtId="3" fontId="28" fillId="33" borderId="43" xfId="0" applyNumberFormat="1" applyFont="1" applyFill="1" applyBorder="1" applyAlignment="1" applyProtection="1">
      <alignment horizontal="center" vertical="center"/>
      <protection hidden="1"/>
    </xf>
    <xf numFmtId="3" fontId="28" fillId="33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2" fillId="68" borderId="33" xfId="0" applyNumberFormat="1" applyFont="1" applyFill="1" applyBorder="1" applyAlignment="1">
      <alignment horizontal="center" vertical="center"/>
    </xf>
    <xf numFmtId="3" fontId="2" fillId="68" borderId="22" xfId="0" applyNumberFormat="1" applyFont="1" applyFill="1" applyBorder="1" applyAlignment="1">
      <alignment horizontal="center" vertical="center"/>
    </xf>
    <xf numFmtId="3" fontId="2" fillId="68" borderId="23" xfId="0" applyNumberFormat="1" applyFont="1" applyFill="1" applyBorder="1" applyAlignment="1">
      <alignment horizontal="center" vertical="center"/>
    </xf>
    <xf numFmtId="3" fontId="32" fillId="68" borderId="33" xfId="0" applyNumberFormat="1" applyFont="1" applyFill="1" applyBorder="1" applyAlignment="1" applyProtection="1">
      <alignment horizontal="center" vertical="center"/>
      <protection hidden="1"/>
    </xf>
    <xf numFmtId="3" fontId="32" fillId="68" borderId="23" xfId="0" applyNumberFormat="1" applyFont="1" applyFill="1" applyBorder="1" applyAlignment="1" applyProtection="1">
      <alignment horizontal="center" vertical="center"/>
      <protection hidden="1"/>
    </xf>
    <xf numFmtId="3" fontId="3" fillId="60" borderId="56" xfId="0" applyNumberFormat="1" applyFont="1" applyFill="1" applyBorder="1" applyAlignment="1">
      <alignment horizontal="center" vertical="center"/>
    </xf>
    <xf numFmtId="3" fontId="3" fillId="60" borderId="41" xfId="0" applyNumberFormat="1" applyFont="1" applyFill="1" applyBorder="1" applyAlignment="1">
      <alignment horizontal="center" vertical="center"/>
    </xf>
    <xf numFmtId="3" fontId="3" fillId="60" borderId="70" xfId="0" applyNumberFormat="1" applyFont="1" applyFill="1" applyBorder="1" applyAlignment="1">
      <alignment horizontal="center" vertical="center"/>
    </xf>
    <xf numFmtId="3" fontId="6" fillId="18" borderId="33" xfId="0" applyNumberFormat="1" applyFont="1" applyFill="1" applyBorder="1" applyAlignment="1">
      <alignment horizontal="center" vertical="center"/>
    </xf>
    <xf numFmtId="3" fontId="6" fillId="18" borderId="22" xfId="0" applyNumberFormat="1" applyFont="1" applyFill="1" applyBorder="1" applyAlignment="1">
      <alignment horizontal="center" vertical="center"/>
    </xf>
    <xf numFmtId="3" fontId="6" fillId="18" borderId="23" xfId="0" applyNumberFormat="1" applyFont="1" applyFill="1" applyBorder="1" applyAlignment="1">
      <alignment horizontal="center" vertical="center"/>
    </xf>
    <xf numFmtId="3" fontId="6" fillId="19" borderId="33" xfId="0" applyNumberFormat="1" applyFont="1" applyFill="1" applyBorder="1" applyAlignment="1">
      <alignment horizontal="center" vertical="center"/>
    </xf>
    <xf numFmtId="3" fontId="6" fillId="19" borderId="22" xfId="0" applyNumberFormat="1" applyFont="1" applyFill="1" applyBorder="1" applyAlignment="1">
      <alignment horizontal="center" vertical="center"/>
    </xf>
    <xf numFmtId="3" fontId="6" fillId="19" borderId="23" xfId="0" applyNumberFormat="1" applyFont="1" applyFill="1" applyBorder="1" applyAlignment="1">
      <alignment horizontal="center" vertical="center"/>
    </xf>
    <xf numFmtId="3" fontId="32" fillId="19" borderId="33" xfId="0" applyNumberFormat="1" applyFont="1" applyFill="1" applyBorder="1" applyAlignment="1" applyProtection="1">
      <alignment horizontal="center" vertical="center"/>
      <protection hidden="1"/>
    </xf>
    <xf numFmtId="3" fontId="32" fillId="19" borderId="23" xfId="0" applyNumberFormat="1" applyFont="1" applyFill="1" applyBorder="1" applyAlignment="1" applyProtection="1">
      <alignment horizontal="center" vertical="center"/>
      <protection hidden="1"/>
    </xf>
    <xf numFmtId="3" fontId="32" fillId="18" borderId="33" xfId="0" applyNumberFormat="1" applyFont="1" applyFill="1" applyBorder="1" applyAlignment="1" applyProtection="1">
      <alignment horizontal="center" vertical="center"/>
      <protection hidden="1"/>
    </xf>
    <xf numFmtId="3" fontId="32" fillId="18" borderId="23" xfId="0" applyNumberFormat="1" applyFont="1" applyFill="1" applyBorder="1" applyAlignment="1" applyProtection="1">
      <alignment horizontal="center" vertical="center"/>
      <protection hidden="1"/>
    </xf>
    <xf numFmtId="0" fontId="36" fillId="60" borderId="0" xfId="0" applyFont="1" applyFill="1" applyBorder="1" applyAlignment="1">
      <alignment horizontal="center" vertical="center"/>
    </xf>
    <xf numFmtId="1" fontId="13" fillId="34" borderId="44" xfId="0" applyNumberFormat="1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 vertical="center"/>
    </xf>
    <xf numFmtId="1" fontId="13" fillId="34" borderId="71" xfId="0" applyNumberFormat="1" applyFont="1" applyFill="1" applyBorder="1" applyAlignment="1">
      <alignment horizontal="center" vertical="center"/>
    </xf>
    <xf numFmtId="0" fontId="5" fillId="52" borderId="33" xfId="0" applyFont="1" applyFill="1" applyBorder="1" applyAlignment="1">
      <alignment horizontal="center" vertical="center"/>
    </xf>
    <xf numFmtId="0" fontId="5" fillId="52" borderId="22" xfId="0" applyFont="1" applyFill="1" applyBorder="1" applyAlignment="1">
      <alignment horizontal="center" vertical="center"/>
    </xf>
    <xf numFmtId="1" fontId="8" fillId="52" borderId="42" xfId="0" applyNumberFormat="1" applyFont="1" applyFill="1" applyBorder="1" applyAlignment="1">
      <alignment horizontal="center" vertical="center" wrapText="1" shrinkToFit="1"/>
    </xf>
    <xf numFmtId="1" fontId="8" fillId="52" borderId="43" xfId="0" applyNumberFormat="1" applyFont="1" applyFill="1" applyBorder="1" applyAlignment="1">
      <alignment horizontal="center" vertical="center" wrapText="1" shrinkToFit="1"/>
    </xf>
    <xf numFmtId="1" fontId="8" fillId="52" borderId="40" xfId="0" applyNumberFormat="1" applyFont="1" applyFill="1" applyBorder="1" applyAlignment="1">
      <alignment horizontal="center" vertical="center" wrapText="1" shrinkToFit="1"/>
    </xf>
    <xf numFmtId="1" fontId="8" fillId="52" borderId="45" xfId="0" applyNumberFormat="1" applyFont="1" applyFill="1" applyBorder="1" applyAlignment="1">
      <alignment horizontal="center" vertical="center" wrapText="1" shrinkToFit="1"/>
    </xf>
    <xf numFmtId="1" fontId="8" fillId="52" borderId="72" xfId="0" applyNumberFormat="1" applyFont="1" applyFill="1" applyBorder="1" applyAlignment="1">
      <alignment horizontal="center" vertical="center" wrapText="1" shrinkToFit="1"/>
    </xf>
    <xf numFmtId="1" fontId="8" fillId="52" borderId="39" xfId="0" applyNumberFormat="1" applyFont="1" applyFill="1" applyBorder="1" applyAlignment="1">
      <alignment horizontal="center" vertical="center" wrapText="1" shrinkToFit="1"/>
    </xf>
    <xf numFmtId="1" fontId="8" fillId="52" borderId="42" xfId="0" applyNumberFormat="1" applyFont="1" applyFill="1" applyBorder="1" applyAlignment="1">
      <alignment horizontal="center" vertical="center" wrapText="1"/>
    </xf>
    <xf numFmtId="1" fontId="8" fillId="52" borderId="43" xfId="0" applyNumberFormat="1" applyFont="1" applyFill="1" applyBorder="1" applyAlignment="1">
      <alignment horizontal="center" vertical="center" wrapText="1"/>
    </xf>
    <xf numFmtId="1" fontId="8" fillId="52" borderId="40" xfId="0" applyNumberFormat="1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6" fillId="46" borderId="42" xfId="0" applyFont="1" applyFill="1" applyBorder="1" applyAlignment="1">
      <alignment horizontal="center" vertical="center"/>
    </xf>
    <xf numFmtId="0" fontId="6" fillId="46" borderId="43" xfId="0" applyFont="1" applyFill="1" applyBorder="1" applyAlignment="1">
      <alignment horizontal="center" vertical="center"/>
    </xf>
    <xf numFmtId="0" fontId="6" fillId="46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49" borderId="42" xfId="0" applyFont="1" applyFill="1" applyBorder="1" applyAlignment="1">
      <alignment horizontal="center" vertical="center"/>
    </xf>
    <xf numFmtId="0" fontId="20" fillId="49" borderId="73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3" fontId="34" fillId="52" borderId="68" xfId="0" applyNumberFormat="1" applyFont="1" applyFill="1" applyBorder="1" applyAlignment="1" applyProtection="1">
      <alignment horizontal="center" vertical="center"/>
      <protection hidden="1"/>
    </xf>
    <xf numFmtId="3" fontId="34" fillId="52" borderId="74" xfId="0" applyNumberFormat="1" applyFont="1" applyFill="1" applyBorder="1" applyAlignment="1" applyProtection="1">
      <alignment horizontal="center" vertical="center"/>
      <protection hidden="1"/>
    </xf>
    <xf numFmtId="3" fontId="34" fillId="52" borderId="42" xfId="0" applyNumberFormat="1" applyFont="1" applyFill="1" applyBorder="1" applyAlignment="1" applyProtection="1">
      <alignment horizontal="center" vertical="center"/>
      <protection hidden="1"/>
    </xf>
    <xf numFmtId="3" fontId="34" fillId="52" borderId="40" xfId="0" applyNumberFormat="1" applyFont="1" applyFill="1" applyBorder="1" applyAlignment="1" applyProtection="1">
      <alignment horizontal="center" vertical="center"/>
      <protection hidden="1"/>
    </xf>
    <xf numFmtId="3" fontId="32" fillId="36" borderId="42" xfId="0" applyNumberFormat="1" applyFont="1" applyFill="1" applyBorder="1" applyAlignment="1" applyProtection="1">
      <alignment horizontal="center" vertical="center"/>
      <protection hidden="1"/>
    </xf>
    <xf numFmtId="3" fontId="32" fillId="36" borderId="40" xfId="0" applyNumberFormat="1" applyFont="1" applyFill="1" applyBorder="1" applyAlignment="1" applyProtection="1">
      <alignment horizontal="center" vertical="center"/>
      <protection hidden="1"/>
    </xf>
    <xf numFmtId="1" fontId="13" fillId="34" borderId="42" xfId="0" applyNumberFormat="1" applyFont="1" applyFill="1" applyBorder="1" applyAlignment="1">
      <alignment horizontal="center" vertical="center"/>
    </xf>
    <xf numFmtId="1" fontId="13" fillId="34" borderId="43" xfId="0" applyNumberFormat="1" applyFont="1" applyFill="1" applyBorder="1" applyAlignment="1">
      <alignment horizontal="center" vertical="center"/>
    </xf>
    <xf numFmtId="1" fontId="13" fillId="34" borderId="40" xfId="0" applyNumberFormat="1" applyFont="1" applyFill="1" applyBorder="1" applyAlignment="1">
      <alignment horizontal="center" vertical="center"/>
    </xf>
    <xf numFmtId="1" fontId="8" fillId="52" borderId="45" xfId="0" applyNumberFormat="1" applyFont="1" applyFill="1" applyBorder="1" applyAlignment="1">
      <alignment horizontal="center" vertical="center" wrapText="1"/>
    </xf>
    <xf numFmtId="1" fontId="8" fillId="52" borderId="72" xfId="0" applyNumberFormat="1" applyFont="1" applyFill="1" applyBorder="1" applyAlignment="1">
      <alignment horizontal="center" vertical="center" wrapText="1"/>
    </xf>
    <xf numFmtId="1" fontId="8" fillId="52" borderId="39" xfId="0" applyNumberFormat="1" applyFont="1" applyFill="1" applyBorder="1" applyAlignment="1">
      <alignment horizontal="center" vertical="center" wrapText="1"/>
    </xf>
    <xf numFmtId="3" fontId="32" fillId="36" borderId="68" xfId="0" applyNumberFormat="1" applyFont="1" applyFill="1" applyBorder="1" applyAlignment="1" applyProtection="1">
      <alignment horizontal="center" vertical="center"/>
      <protection hidden="1"/>
    </xf>
    <xf numFmtId="3" fontId="32" fillId="36" borderId="74" xfId="0" applyNumberFormat="1" applyFont="1" applyFill="1" applyBorder="1" applyAlignment="1" applyProtection="1">
      <alignment horizontal="center" vertical="center"/>
      <protection hidden="1"/>
    </xf>
    <xf numFmtId="0" fontId="4" fillId="35" borderId="33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3" fontId="32" fillId="35" borderId="42" xfId="0" applyNumberFormat="1" applyFont="1" applyFill="1" applyBorder="1" applyAlignment="1" applyProtection="1">
      <alignment horizontal="center" vertical="center"/>
      <protection hidden="1"/>
    </xf>
    <xf numFmtId="3" fontId="32" fillId="35" borderId="40" xfId="0" applyNumberFormat="1" applyFont="1" applyFill="1" applyBorder="1" applyAlignment="1" applyProtection="1">
      <alignment horizontal="center" vertical="center"/>
      <protection hidden="1"/>
    </xf>
    <xf numFmtId="0" fontId="2" fillId="69" borderId="33" xfId="0" applyFont="1" applyFill="1" applyBorder="1" applyAlignment="1">
      <alignment horizontal="center" vertical="center"/>
    </xf>
    <xf numFmtId="0" fontId="2" fillId="69" borderId="23" xfId="0" applyFont="1" applyFill="1" applyBorder="1" applyAlignment="1">
      <alignment horizontal="center" vertical="center"/>
    </xf>
    <xf numFmtId="0" fontId="2" fillId="52" borderId="33" xfId="0" applyFont="1" applyFill="1" applyBorder="1" applyAlignment="1">
      <alignment horizontal="center" vertical="center"/>
    </xf>
    <xf numFmtId="0" fontId="2" fillId="52" borderId="23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/>
    </xf>
    <xf numFmtId="0" fontId="3" fillId="55" borderId="23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8" fillId="46" borderId="33" xfId="0" applyFont="1" applyFill="1" applyBorder="1" applyAlignment="1">
      <alignment horizontal="center" vertical="center" wrapText="1"/>
    </xf>
    <xf numFmtId="0" fontId="8" fillId="46" borderId="22" xfId="0" applyFont="1" applyFill="1" applyBorder="1" applyAlignment="1">
      <alignment horizontal="center" vertical="center" wrapText="1"/>
    </xf>
    <xf numFmtId="0" fontId="8" fillId="46" borderId="75" xfId="0" applyFont="1" applyFill="1" applyBorder="1" applyAlignment="1">
      <alignment horizontal="center" vertical="center" wrapText="1"/>
    </xf>
    <xf numFmtId="0" fontId="8" fillId="41" borderId="45" xfId="0" applyFont="1" applyFill="1" applyBorder="1" applyAlignment="1">
      <alignment horizontal="center" vertical="center" wrapText="1"/>
    </xf>
    <xf numFmtId="0" fontId="8" fillId="41" borderId="72" xfId="0" applyFont="1" applyFill="1" applyBorder="1" applyAlignment="1">
      <alignment horizontal="center" vertical="center" wrapText="1"/>
    </xf>
    <xf numFmtId="0" fontId="8" fillId="41" borderId="39" xfId="0" applyFont="1" applyFill="1" applyBorder="1" applyAlignment="1">
      <alignment horizontal="center" vertical="center" wrapText="1"/>
    </xf>
    <xf numFmtId="1" fontId="8" fillId="55" borderId="42" xfId="0" applyNumberFormat="1" applyFont="1" applyFill="1" applyBorder="1" applyAlignment="1">
      <alignment horizontal="center"/>
    </xf>
    <xf numFmtId="1" fontId="8" fillId="55" borderId="43" xfId="0" applyNumberFormat="1" applyFont="1" applyFill="1" applyBorder="1" applyAlignment="1">
      <alignment horizontal="center"/>
    </xf>
    <xf numFmtId="1" fontId="8" fillId="55" borderId="40" xfId="0" applyNumberFormat="1" applyFont="1" applyFill="1" applyBorder="1" applyAlignment="1">
      <alignment horizontal="center"/>
    </xf>
    <xf numFmtId="0" fontId="0" fillId="52" borderId="43" xfId="0" applyFont="1" applyFill="1" applyBorder="1" applyAlignment="1">
      <alignment horizontal="center" vertical="center" wrapText="1" shrinkToFit="1"/>
    </xf>
    <xf numFmtId="0" fontId="0" fillId="52" borderId="40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6" fillId="34" borderId="42" xfId="0" applyNumberFormat="1" applyFont="1" applyFill="1" applyBorder="1" applyAlignment="1" applyProtection="1">
      <alignment horizontal="center" vertical="center"/>
      <protection hidden="1"/>
    </xf>
    <xf numFmtId="3" fontId="6" fillId="34" borderId="40" xfId="0" applyNumberFormat="1" applyFont="1" applyFill="1" applyBorder="1" applyAlignment="1" applyProtection="1">
      <alignment horizontal="center" vertical="center"/>
      <protection hidden="1"/>
    </xf>
    <xf numFmtId="3" fontId="16" fillId="52" borderId="42" xfId="0" applyNumberFormat="1" applyFont="1" applyFill="1" applyBorder="1" applyAlignment="1" applyProtection="1">
      <alignment horizontal="center" vertical="center"/>
      <protection hidden="1"/>
    </xf>
    <xf numFmtId="3" fontId="16" fillId="52" borderId="40" xfId="0" applyNumberFormat="1" applyFont="1" applyFill="1" applyBorder="1" applyAlignment="1" applyProtection="1">
      <alignment horizontal="center" vertical="center"/>
      <protection hidden="1"/>
    </xf>
    <xf numFmtId="0" fontId="16" fillId="52" borderId="42" xfId="0" applyFont="1" applyFill="1" applyBorder="1" applyAlignment="1">
      <alignment horizontal="center" vertical="center"/>
    </xf>
    <xf numFmtId="0" fontId="16" fillId="52" borderId="40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55" borderId="42" xfId="0" applyFont="1" applyFill="1" applyBorder="1" applyAlignment="1">
      <alignment horizontal="center"/>
    </xf>
    <xf numFmtId="0" fontId="3" fillId="55" borderId="43" xfId="0" applyFont="1" applyFill="1" applyBorder="1" applyAlignment="1">
      <alignment horizontal="center"/>
    </xf>
    <xf numFmtId="0" fontId="3" fillId="55" borderId="40" xfId="0" applyFont="1" applyFill="1" applyBorder="1" applyAlignment="1">
      <alignment horizontal="center"/>
    </xf>
    <xf numFmtId="0" fontId="4" fillId="46" borderId="42" xfId="0" applyFont="1" applyFill="1" applyBorder="1" applyAlignment="1">
      <alignment horizontal="center" vertical="center"/>
    </xf>
    <xf numFmtId="0" fontId="4" fillId="46" borderId="43" xfId="0" applyFont="1" applyFill="1" applyBorder="1" applyAlignment="1">
      <alignment horizontal="center" vertical="center"/>
    </xf>
    <xf numFmtId="0" fontId="4" fillId="46" borderId="4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24" fillId="49" borderId="33" xfId="0" applyFont="1" applyFill="1" applyBorder="1" applyAlignment="1">
      <alignment horizontal="center"/>
    </xf>
    <xf numFmtId="0" fontId="24" fillId="49" borderId="23" xfId="0" applyFont="1" applyFill="1" applyBorder="1" applyAlignment="1">
      <alignment horizontal="center"/>
    </xf>
    <xf numFmtId="1" fontId="12" fillId="0" borderId="44" xfId="0" applyNumberFormat="1" applyFont="1" applyFill="1" applyBorder="1" applyAlignment="1" applyProtection="1">
      <alignment horizontal="center"/>
      <protection hidden="1"/>
    </xf>
    <xf numFmtId="0" fontId="1" fillId="55" borderId="33" xfId="0" applyFont="1" applyFill="1" applyBorder="1" applyAlignment="1">
      <alignment horizontal="center" vertical="center"/>
    </xf>
    <xf numFmtId="0" fontId="1" fillId="55" borderId="23" xfId="0" applyFont="1" applyFill="1" applyBorder="1" applyAlignment="1">
      <alignment horizontal="center" vertical="center"/>
    </xf>
    <xf numFmtId="3" fontId="4" fillId="14" borderId="33" xfId="0" applyNumberFormat="1" applyFont="1" applyFill="1" applyBorder="1" applyAlignment="1" applyProtection="1">
      <alignment horizontal="center" vertical="center"/>
      <protection hidden="1"/>
    </xf>
    <xf numFmtId="3" fontId="4" fillId="14" borderId="23" xfId="0" applyNumberFormat="1" applyFont="1" applyFill="1" applyBorder="1" applyAlignment="1" applyProtection="1">
      <alignment horizontal="center" vertical="center"/>
      <protection hidden="1"/>
    </xf>
    <xf numFmtId="0" fontId="4" fillId="7" borderId="3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3" fontId="16" fillId="69" borderId="33" xfId="0" applyNumberFormat="1" applyFont="1" applyFill="1" applyBorder="1" applyAlignment="1">
      <alignment horizontal="center" vertical="center"/>
    </xf>
    <xf numFmtId="0" fontId="16" fillId="69" borderId="23" xfId="0" applyFont="1" applyFill="1" applyBorder="1" applyAlignment="1">
      <alignment horizontal="center" vertical="center"/>
    </xf>
    <xf numFmtId="3" fontId="32" fillId="14" borderId="33" xfId="0" applyNumberFormat="1" applyFont="1" applyFill="1" applyBorder="1" applyAlignment="1" applyProtection="1">
      <alignment horizontal="center" vertical="center"/>
      <protection hidden="1"/>
    </xf>
    <xf numFmtId="3" fontId="32" fillId="14" borderId="23" xfId="0" applyNumberFormat="1" applyFont="1" applyFill="1" applyBorder="1" applyAlignment="1" applyProtection="1">
      <alignment horizontal="center" vertical="center"/>
      <protection hidden="1"/>
    </xf>
    <xf numFmtId="0" fontId="16" fillId="33" borderId="68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3" fontId="28" fillId="33" borderId="68" xfId="0" applyNumberFormat="1" applyFont="1" applyFill="1" applyBorder="1" applyAlignment="1" applyProtection="1">
      <alignment horizontal="center" vertical="center"/>
      <protection hidden="1"/>
    </xf>
    <xf numFmtId="3" fontId="28" fillId="33" borderId="69" xfId="0" applyNumberFormat="1" applyFont="1" applyFill="1" applyBorder="1" applyAlignment="1" applyProtection="1">
      <alignment horizontal="center" vertical="center"/>
      <protection hidden="1"/>
    </xf>
    <xf numFmtId="3" fontId="28" fillId="33" borderId="74" xfId="0" applyNumberFormat="1" applyFont="1" applyFill="1" applyBorder="1" applyAlignment="1" applyProtection="1">
      <alignment horizontal="center" vertical="center"/>
      <protection hidden="1"/>
    </xf>
    <xf numFmtId="0" fontId="2" fillId="49" borderId="33" xfId="0" applyFont="1" applyFill="1" applyBorder="1" applyAlignment="1">
      <alignment horizontal="center"/>
    </xf>
    <xf numFmtId="0" fontId="2" fillId="49" borderId="41" xfId="0" applyFont="1" applyFill="1" applyBorder="1" applyAlignment="1">
      <alignment horizontal="center"/>
    </xf>
    <xf numFmtId="0" fontId="2" fillId="49" borderId="23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3" fillId="62" borderId="33" xfId="0" applyFont="1" applyFill="1" applyBorder="1" applyAlignment="1">
      <alignment horizontal="center"/>
    </xf>
    <xf numFmtId="0" fontId="3" fillId="62" borderId="22" xfId="0" applyFont="1" applyFill="1" applyBorder="1" applyAlignment="1">
      <alignment horizontal="center"/>
    </xf>
    <xf numFmtId="0" fontId="3" fillId="62" borderId="23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0" fontId="2" fillId="52" borderId="33" xfId="0" applyFont="1" applyFill="1" applyBorder="1" applyAlignment="1">
      <alignment horizontal="left" vertical="center"/>
    </xf>
    <xf numFmtId="0" fontId="2" fillId="52" borderId="22" xfId="0" applyFont="1" applyFill="1" applyBorder="1" applyAlignment="1">
      <alignment horizontal="left" vertical="center"/>
    </xf>
    <xf numFmtId="0" fontId="2" fillId="52" borderId="23" xfId="0" applyFont="1" applyFill="1" applyBorder="1" applyAlignment="1">
      <alignment horizontal="left" vertical="center"/>
    </xf>
    <xf numFmtId="0" fontId="2" fillId="41" borderId="33" xfId="0" applyFont="1" applyFill="1" applyBorder="1" applyAlignment="1">
      <alignment horizontal="left" vertical="center"/>
    </xf>
    <xf numFmtId="0" fontId="2" fillId="41" borderId="22" xfId="0" applyFont="1" applyFill="1" applyBorder="1" applyAlignment="1">
      <alignment horizontal="left" vertical="center"/>
    </xf>
    <xf numFmtId="0" fontId="2" fillId="41" borderId="23" xfId="0" applyFont="1" applyFill="1" applyBorder="1" applyAlignment="1">
      <alignment horizontal="left" vertical="center"/>
    </xf>
    <xf numFmtId="0" fontId="4" fillId="41" borderId="33" xfId="0" applyFont="1" applyFill="1" applyBorder="1" applyAlignment="1">
      <alignment horizontal="center" vertical="center"/>
    </xf>
    <xf numFmtId="0" fontId="4" fillId="41" borderId="22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0" fontId="4" fillId="53" borderId="33" xfId="0" applyFont="1" applyFill="1" applyBorder="1" applyAlignment="1">
      <alignment horizontal="center"/>
    </xf>
    <xf numFmtId="0" fontId="4" fillId="53" borderId="22" xfId="0" applyFont="1" applyFill="1" applyBorder="1" applyAlignment="1">
      <alignment horizontal="center"/>
    </xf>
    <xf numFmtId="0" fontId="4" fillId="53" borderId="2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23" xfId="0" applyNumberFormat="1" applyFont="1" applyBorder="1" applyAlignment="1" applyProtection="1">
      <alignment horizontal="center"/>
      <protection hidden="1"/>
    </xf>
    <xf numFmtId="0" fontId="6" fillId="52" borderId="33" xfId="0" applyFont="1" applyFill="1" applyBorder="1" applyAlignment="1" applyProtection="1">
      <alignment horizontal="center"/>
      <protection hidden="1"/>
    </xf>
    <xf numFmtId="0" fontId="6" fillId="52" borderId="22" xfId="0" applyFont="1" applyFill="1" applyBorder="1" applyAlignment="1" applyProtection="1">
      <alignment horizontal="center"/>
      <protection hidden="1"/>
    </xf>
    <xf numFmtId="3" fontId="1" fillId="0" borderId="3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63" borderId="33" xfId="0" applyFont="1" applyFill="1" applyBorder="1" applyAlignment="1">
      <alignment horizontal="center"/>
    </xf>
    <xf numFmtId="0" fontId="3" fillId="63" borderId="22" xfId="0" applyFont="1" applyFill="1" applyBorder="1" applyAlignment="1">
      <alignment horizontal="center"/>
    </xf>
    <xf numFmtId="0" fontId="3" fillId="63" borderId="23" xfId="0" applyFont="1" applyFill="1" applyBorder="1" applyAlignment="1">
      <alignment horizontal="center"/>
    </xf>
    <xf numFmtId="0" fontId="4" fillId="69" borderId="33" xfId="0" applyFont="1" applyFill="1" applyBorder="1" applyAlignment="1">
      <alignment horizontal="center"/>
    </xf>
    <xf numFmtId="0" fontId="4" fillId="69" borderId="22" xfId="0" applyFont="1" applyFill="1" applyBorder="1" applyAlignment="1">
      <alignment horizontal="center"/>
    </xf>
    <xf numFmtId="0" fontId="4" fillId="69" borderId="23" xfId="0" applyFont="1" applyFill="1" applyBorder="1" applyAlignment="1">
      <alignment horizontal="center"/>
    </xf>
    <xf numFmtId="0" fontId="3" fillId="52" borderId="33" xfId="0" applyFont="1" applyFill="1" applyBorder="1" applyAlignment="1" applyProtection="1">
      <alignment horizontal="center"/>
      <protection hidden="1"/>
    </xf>
    <xf numFmtId="0" fontId="3" fillId="52" borderId="22" xfId="0" applyFont="1" applyFill="1" applyBorder="1" applyAlignment="1" applyProtection="1">
      <alignment horizontal="center"/>
      <protection hidden="1"/>
    </xf>
    <xf numFmtId="0" fontId="4" fillId="33" borderId="3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2" fillId="41" borderId="33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52" borderId="33" xfId="0" applyFont="1" applyFill="1" applyBorder="1" applyAlignment="1">
      <alignment horizontal="center"/>
    </xf>
    <xf numFmtId="0" fontId="4" fillId="52" borderId="22" xfId="0" applyFont="1" applyFill="1" applyBorder="1" applyAlignment="1">
      <alignment horizontal="center"/>
    </xf>
    <xf numFmtId="0" fontId="4" fillId="52" borderId="23" xfId="0" applyFont="1" applyFill="1" applyBorder="1" applyAlignment="1">
      <alignment horizontal="center"/>
    </xf>
    <xf numFmtId="0" fontId="2" fillId="53" borderId="33" xfId="0" applyFont="1" applyFill="1" applyBorder="1" applyAlignment="1">
      <alignment horizontal="left" vertical="center"/>
    </xf>
    <xf numFmtId="0" fontId="2" fillId="53" borderId="22" xfId="0" applyFont="1" applyFill="1" applyBorder="1" applyAlignment="1">
      <alignment horizontal="left" vertical="center"/>
    </xf>
    <xf numFmtId="0" fontId="2" fillId="53" borderId="23" xfId="0" applyFont="1" applyFill="1" applyBorder="1" applyAlignment="1">
      <alignment horizontal="left" vertical="center"/>
    </xf>
    <xf numFmtId="0" fontId="21" fillId="41" borderId="33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1" fillId="41" borderId="2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0" fillId="49" borderId="43" xfId="0" applyFont="1" applyFill="1" applyBorder="1" applyAlignment="1">
      <alignment horizontal="center" vertical="center"/>
    </xf>
    <xf numFmtId="0" fontId="6" fillId="69" borderId="22" xfId="0" applyFont="1" applyFill="1" applyBorder="1" applyAlignment="1">
      <alignment horizontal="center" vertical="center"/>
    </xf>
    <xf numFmtId="0" fontId="6" fillId="69" borderId="23" xfId="0" applyFont="1" applyFill="1" applyBorder="1" applyAlignment="1">
      <alignment horizontal="center" vertical="center"/>
    </xf>
    <xf numFmtId="0" fontId="6" fillId="69" borderId="33" xfId="0" applyFont="1" applyFill="1" applyBorder="1" applyAlignment="1">
      <alignment horizontal="center" vertical="center"/>
    </xf>
    <xf numFmtId="0" fontId="4" fillId="70" borderId="33" xfId="0" applyFont="1" applyFill="1" applyBorder="1" applyAlignment="1">
      <alignment horizontal="center"/>
    </xf>
    <xf numFmtId="0" fontId="4" fillId="70" borderId="22" xfId="0" applyFont="1" applyFill="1" applyBorder="1" applyAlignment="1">
      <alignment horizontal="center"/>
    </xf>
    <xf numFmtId="0" fontId="4" fillId="70" borderId="23" xfId="0" applyFont="1" applyFill="1" applyBorder="1" applyAlignment="1">
      <alignment horizontal="center"/>
    </xf>
    <xf numFmtId="3" fontId="16" fillId="70" borderId="33" xfId="0" applyNumberFormat="1" applyFont="1" applyFill="1" applyBorder="1" applyAlignment="1">
      <alignment horizontal="center"/>
    </xf>
    <xf numFmtId="3" fontId="16" fillId="70" borderId="2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showGridLines="0" tabSelected="1" zoomScalePageLayoutView="0" workbookViewId="0" topLeftCell="B1">
      <selection activeCell="Q43" sqref="Q43"/>
    </sheetView>
  </sheetViews>
  <sheetFormatPr defaultColWidth="11.421875" defaultRowHeight="12.75"/>
  <cols>
    <col min="1" max="1" width="18.00390625" style="0" hidden="1" customWidth="1"/>
    <col min="2" max="2" width="18.140625" style="0" customWidth="1"/>
    <col min="3" max="3" width="15.57421875" style="0" customWidth="1"/>
    <col min="4" max="4" width="17.421875" style="0" customWidth="1"/>
    <col min="5" max="5" width="19.57421875" style="0" customWidth="1"/>
    <col min="6" max="6" width="13.00390625" style="0" customWidth="1"/>
    <col min="7" max="7" width="18.7109375" style="0" customWidth="1"/>
    <col min="8" max="8" width="12.57421875" style="0" hidden="1" customWidth="1"/>
    <col min="9" max="10" width="0" style="0" hidden="1" customWidth="1"/>
    <col min="11" max="11" width="12.28125" style="0" hidden="1" customWidth="1"/>
    <col min="12" max="13" width="0" style="0" hidden="1" customWidth="1"/>
  </cols>
  <sheetData>
    <row r="1" spans="2:12" ht="18.75" thickBot="1">
      <c r="B1" s="362" t="s">
        <v>129</v>
      </c>
      <c r="C1" s="363"/>
      <c r="D1" s="363"/>
      <c r="E1" s="363"/>
      <c r="F1" s="363"/>
      <c r="G1" s="364"/>
      <c r="I1" s="2">
        <v>0.1</v>
      </c>
      <c r="J1" s="16" t="s">
        <v>119</v>
      </c>
      <c r="L1" s="2">
        <v>0.08</v>
      </c>
    </row>
    <row r="2" spans="3:5" ht="4.5" customHeight="1" thickBot="1">
      <c r="C2" s="383"/>
      <c r="D2" s="383"/>
      <c r="E2" s="383"/>
    </row>
    <row r="3" spans="2:13" ht="27" customHeight="1" thickBot="1" thickTop="1">
      <c r="B3" s="387" t="s">
        <v>27</v>
      </c>
      <c r="C3" s="388"/>
      <c r="D3" s="388"/>
      <c r="E3" s="388"/>
      <c r="F3" s="388"/>
      <c r="G3" s="185"/>
      <c r="H3">
        <f>IF(G3&lt;=G64,G3,K3)</f>
        <v>0</v>
      </c>
      <c r="I3">
        <f>IF(G3&gt;=G65,J7,I5)</f>
        <v>0</v>
      </c>
      <c r="J3">
        <f>IF(G3&gt;G64,G64,0)</f>
        <v>0</v>
      </c>
      <c r="K3">
        <f>IF(K6&gt;=0,K6,0)</f>
        <v>0</v>
      </c>
      <c r="L3">
        <f>IF(G3&gt;G65,G3-G65,0)</f>
        <v>0</v>
      </c>
      <c r="M3" s="155">
        <f>+H3+I3+J3+K3+L3</f>
        <v>0</v>
      </c>
    </row>
    <row r="4" spans="2:7" ht="24" customHeight="1" hidden="1" thickBot="1" thickTop="1">
      <c r="B4" s="7"/>
      <c r="C4" s="7"/>
      <c r="D4" s="7"/>
      <c r="E4" s="13"/>
      <c r="F4" s="7"/>
      <c r="G4" s="186"/>
    </row>
    <row r="5" spans="2:11" ht="28.5" customHeight="1" thickBot="1" thickTop="1">
      <c r="B5" s="437" t="s">
        <v>75</v>
      </c>
      <c r="C5" s="438"/>
      <c r="D5" s="438"/>
      <c r="E5" s="438"/>
      <c r="F5" s="439"/>
      <c r="G5" s="187"/>
      <c r="H5">
        <f>IF(G3&lt;=G64,G3,K3)</f>
        <v>0</v>
      </c>
      <c r="I5">
        <f>IF(G3&gt;G64,G3-G64,G3)</f>
        <v>0</v>
      </c>
      <c r="K5">
        <f>IF(K3&gt;=0,K3,0)</f>
        <v>0</v>
      </c>
    </row>
    <row r="6" spans="2:17" ht="32.25" customHeight="1" thickBot="1">
      <c r="B6" s="440" t="s">
        <v>53</v>
      </c>
      <c r="C6" s="441"/>
      <c r="D6" s="441"/>
      <c r="E6" s="441"/>
      <c r="F6" s="442"/>
      <c r="G6" s="247"/>
      <c r="K6">
        <f>IF(G3&gt;G65,0,G3-G65)</f>
        <v>-73050</v>
      </c>
      <c r="Q6" s="16" t="s">
        <v>123</v>
      </c>
    </row>
    <row r="7" spans="2:10" ht="27" customHeight="1" thickBot="1" thickTop="1">
      <c r="B7" s="398" t="s">
        <v>94</v>
      </c>
      <c r="C7" s="399"/>
      <c r="D7" s="399"/>
      <c r="E7" s="399"/>
      <c r="F7" s="400"/>
      <c r="G7" s="246"/>
      <c r="I7">
        <f>IF(G3&lt;=G65,J7,I5)</f>
        <v>73050</v>
      </c>
      <c r="J7" s="155">
        <f>G65-J3</f>
        <v>73050</v>
      </c>
    </row>
    <row r="8" spans="2:10" ht="29.25" customHeight="1" thickBot="1" thickTop="1">
      <c r="B8" s="392" t="s">
        <v>78</v>
      </c>
      <c r="C8" s="393"/>
      <c r="D8" s="393"/>
      <c r="E8" s="393"/>
      <c r="F8" s="394"/>
      <c r="G8" s="153"/>
      <c r="I8" s="1"/>
      <c r="J8" s="1"/>
    </row>
    <row r="9" spans="1:7" ht="21" customHeight="1" thickBot="1" thickTop="1">
      <c r="A9" s="130">
        <f>D9+E9+G9</f>
        <v>0</v>
      </c>
      <c r="B9" s="35"/>
      <c r="C9" s="35"/>
      <c r="D9" s="141"/>
      <c r="E9" s="142"/>
      <c r="F9" s="35"/>
      <c r="G9" s="143"/>
    </row>
    <row r="10" spans="2:7" ht="15" customHeight="1" hidden="1" thickBot="1">
      <c r="B10" s="132"/>
      <c r="C10" s="35"/>
      <c r="D10" s="35"/>
      <c r="E10" s="35"/>
      <c r="F10" s="35"/>
      <c r="G10" s="8"/>
    </row>
    <row r="11" spans="2:14" ht="30.75" customHeight="1" thickBot="1" thickTop="1">
      <c r="B11" s="389" t="s">
        <v>82</v>
      </c>
      <c r="C11" s="390"/>
      <c r="D11" s="390"/>
      <c r="E11" s="390"/>
      <c r="F11" s="391"/>
      <c r="G11" s="153"/>
      <c r="N11" s="216"/>
    </row>
    <row r="12" spans="1:7" ht="21" customHeight="1" thickBot="1" thickTop="1">
      <c r="A12" s="124">
        <f>B12+C12+D12+E12+F12+G12</f>
        <v>0</v>
      </c>
      <c r="B12" s="126"/>
      <c r="C12" s="127"/>
      <c r="D12" s="128"/>
      <c r="E12" s="127"/>
      <c r="F12" s="129"/>
      <c r="G12" s="114"/>
    </row>
    <row r="13" spans="2:7" ht="19.5" customHeight="1" thickBot="1">
      <c r="B13" s="384" t="s">
        <v>86</v>
      </c>
      <c r="C13" s="385"/>
      <c r="D13" s="385"/>
      <c r="E13" s="385"/>
      <c r="F13" s="386"/>
      <c r="G13" s="153"/>
    </row>
    <row r="14" spans="2:7" ht="24.75" customHeight="1" thickBot="1" thickTop="1">
      <c r="B14" s="389" t="s">
        <v>47</v>
      </c>
      <c r="C14" s="446"/>
      <c r="D14" s="446"/>
      <c r="E14" s="446"/>
      <c r="F14" s="447"/>
      <c r="G14" s="110"/>
    </row>
    <row r="15" spans="2:7" ht="9.75" customHeight="1" hidden="1" thickBot="1" thickTop="1">
      <c r="B15" s="133"/>
      <c r="C15" s="134"/>
      <c r="D15" s="134"/>
      <c r="E15" s="134"/>
      <c r="F15" s="134"/>
      <c r="G15" s="111"/>
    </row>
    <row r="16" spans="1:7" s="16" customFormat="1" ht="29.25" customHeight="1" thickBot="1" thickTop="1">
      <c r="A16" s="14"/>
      <c r="B16" s="395" t="s">
        <v>77</v>
      </c>
      <c r="C16" s="396"/>
      <c r="D16" s="396"/>
      <c r="E16" s="396"/>
      <c r="F16" s="397"/>
      <c r="G16" s="167"/>
    </row>
    <row r="17" spans="1:7" s="166" customFormat="1" ht="4.5" customHeight="1" hidden="1" thickBot="1" thickTop="1">
      <c r="A17" s="165"/>
      <c r="B17" s="140"/>
      <c r="C17" s="140"/>
      <c r="D17" s="140"/>
      <c r="E17" s="140"/>
      <c r="F17" s="140"/>
      <c r="G17" s="112"/>
    </row>
    <row r="18" spans="1:7" s="16" customFormat="1" ht="18.75" customHeight="1" thickBot="1" thickTop="1">
      <c r="A18" s="14"/>
      <c r="B18" s="416" t="s">
        <v>60</v>
      </c>
      <c r="C18" s="417"/>
      <c r="D18" s="417"/>
      <c r="E18" s="417"/>
      <c r="F18" s="418"/>
      <c r="G18" s="153"/>
    </row>
    <row r="19" spans="1:7" s="16" customFormat="1" ht="21" customHeight="1" thickBot="1" thickTop="1">
      <c r="A19" s="135"/>
      <c r="B19" s="419" t="s">
        <v>101</v>
      </c>
      <c r="C19" s="420"/>
      <c r="D19" s="420"/>
      <c r="E19" s="420"/>
      <c r="F19" s="421"/>
      <c r="G19" s="154"/>
    </row>
    <row r="20" spans="1:7" s="16" customFormat="1" ht="21" customHeight="1" thickBot="1" thickTop="1">
      <c r="A20" s="14"/>
      <c r="B20" s="168" t="s">
        <v>26</v>
      </c>
      <c r="C20" s="169"/>
      <c r="D20" s="17"/>
      <c r="E20" s="171" t="s">
        <v>116</v>
      </c>
      <c r="F20" s="169"/>
      <c r="G20" s="153"/>
    </row>
    <row r="21" spans="1:7" s="16" customFormat="1" ht="21" customHeight="1" thickBot="1" thickTop="1">
      <c r="A21" s="14"/>
      <c r="B21" s="170" t="s">
        <v>43</v>
      </c>
      <c r="C21" s="169"/>
      <c r="D21" s="17"/>
      <c r="E21" s="172" t="s">
        <v>44</v>
      </c>
      <c r="F21" s="169"/>
      <c r="G21" s="153"/>
    </row>
    <row r="22" spans="1:7" s="16" customFormat="1" ht="8.25" customHeight="1" hidden="1">
      <c r="A22" s="14"/>
      <c r="B22" s="17"/>
      <c r="C22" s="17"/>
      <c r="D22" s="17"/>
      <c r="E22" s="15"/>
      <c r="F22" s="15"/>
      <c r="G22" s="153"/>
    </row>
    <row r="23" spans="1:7" s="16" customFormat="1" ht="21" customHeight="1" hidden="1" thickBot="1" thickTop="1">
      <c r="A23" s="14"/>
      <c r="B23" s="17"/>
      <c r="C23" s="416" t="s">
        <v>23</v>
      </c>
      <c r="D23" s="417"/>
      <c r="E23" s="418"/>
      <c r="F23" s="15"/>
      <c r="G23" s="153"/>
    </row>
    <row r="24" spans="2:7" ht="21" customHeight="1" hidden="1" thickBot="1" thickTop="1">
      <c r="B24" s="443" t="s">
        <v>45</v>
      </c>
      <c r="C24" s="444"/>
      <c r="D24" s="444"/>
      <c r="E24" s="444"/>
      <c r="F24" s="444"/>
      <c r="G24" s="445"/>
    </row>
    <row r="25" spans="1:7" ht="24" customHeight="1" hidden="1" thickBot="1" thickTop="1">
      <c r="A25" s="117">
        <f>D25+E25+G25</f>
        <v>0</v>
      </c>
      <c r="B25" s="9"/>
      <c r="C25" s="9"/>
      <c r="D25" s="136"/>
      <c r="E25" s="137"/>
      <c r="F25" s="9"/>
      <c r="G25" s="137"/>
    </row>
    <row r="26" spans="2:7" ht="15" customHeight="1" hidden="1" thickBot="1">
      <c r="B26" s="9"/>
      <c r="C26" s="9"/>
      <c r="D26" s="9"/>
      <c r="E26" s="9"/>
      <c r="F26" s="9"/>
      <c r="G26" s="24"/>
    </row>
    <row r="27" spans="2:7" ht="21" customHeight="1" hidden="1" thickBot="1" thickTop="1">
      <c r="B27" s="9"/>
      <c r="C27" s="416" t="s">
        <v>24</v>
      </c>
      <c r="D27" s="417"/>
      <c r="E27" s="418"/>
      <c r="F27" s="9"/>
      <c r="G27" s="152"/>
    </row>
    <row r="28" spans="2:7" ht="21" customHeight="1" hidden="1" thickBot="1" thickTop="1">
      <c r="B28" s="443" t="s">
        <v>46</v>
      </c>
      <c r="C28" s="444"/>
      <c r="D28" s="444"/>
      <c r="E28" s="444"/>
      <c r="F28" s="444"/>
      <c r="G28" s="445"/>
    </row>
    <row r="29" spans="1:7" ht="24" customHeight="1" hidden="1" thickBot="1" thickTop="1">
      <c r="A29" s="116">
        <f>D29+E29+G29</f>
        <v>0</v>
      </c>
      <c r="B29" s="9"/>
      <c r="C29" s="9"/>
      <c r="D29" s="138"/>
      <c r="E29" s="138"/>
      <c r="F29" s="125"/>
      <c r="G29" s="138"/>
    </row>
    <row r="30" spans="1:5" s="16" customFormat="1" ht="15.75" customHeight="1" hidden="1">
      <c r="A30" s="14"/>
      <c r="B30" s="15"/>
      <c r="C30" s="15"/>
      <c r="D30" s="15"/>
      <c r="E30" s="15"/>
    </row>
    <row r="31" spans="2:7" ht="18" customHeight="1" hidden="1" thickBot="1" thickTop="1">
      <c r="B31" s="403" t="s">
        <v>89</v>
      </c>
      <c r="C31" s="404"/>
      <c r="D31" s="404"/>
      <c r="E31" s="405"/>
      <c r="F31" s="248"/>
      <c r="G31" s="248"/>
    </row>
    <row r="32" spans="2:7" ht="15" customHeight="1" hidden="1" thickBot="1" thickTop="1">
      <c r="B32" s="144" t="s">
        <v>5</v>
      </c>
      <c r="C32" s="144" t="s">
        <v>7</v>
      </c>
      <c r="D32" s="144" t="s">
        <v>8</v>
      </c>
      <c r="E32" s="144" t="s">
        <v>50</v>
      </c>
      <c r="F32" s="38"/>
      <c r="G32" s="113" t="s">
        <v>5</v>
      </c>
    </row>
    <row r="33" spans="1:7" ht="15" customHeight="1" hidden="1" thickBot="1">
      <c r="A33" s="19">
        <f>G33</f>
        <v>34090</v>
      </c>
      <c r="B33" s="47" t="s">
        <v>56</v>
      </c>
      <c r="C33" s="238">
        <f>G33</f>
        <v>34090</v>
      </c>
      <c r="D33" s="49">
        <v>0</v>
      </c>
      <c r="E33" s="50">
        <f aca="true" t="shared" si="0" ref="E33:E39">C33*D33</f>
        <v>0</v>
      </c>
      <c r="G33" s="233">
        <f>7*DEDUCCIONES!E62</f>
        <v>34090</v>
      </c>
    </row>
    <row r="34" spans="1:11" ht="15" customHeight="1" hidden="1" thickBot="1">
      <c r="A34" s="20">
        <f>IF(C55&gt;=G34,H34,C55-G33)</f>
        <v>-34090</v>
      </c>
      <c r="B34" s="51" t="s">
        <v>57</v>
      </c>
      <c r="C34" s="239">
        <f aca="true" t="shared" si="1" ref="C34:C39">IF(A34&lt;=0,0,A34)</f>
        <v>0</v>
      </c>
      <c r="D34" s="53">
        <v>0.1</v>
      </c>
      <c r="E34" s="54">
        <f t="shared" si="0"/>
        <v>0</v>
      </c>
      <c r="G34" s="234">
        <f>F58*10</f>
        <v>48700</v>
      </c>
      <c r="H34" s="74">
        <f>G34-G33</f>
        <v>14610</v>
      </c>
      <c r="K34" s="155"/>
    </row>
    <row r="35" spans="1:8" ht="15" customHeight="1" hidden="1" thickBot="1">
      <c r="A35" s="20">
        <f>IF(C55&gt;=G35,H35,C55-G34)</f>
        <v>-48700</v>
      </c>
      <c r="B35" s="55" t="s">
        <v>3</v>
      </c>
      <c r="C35" s="240">
        <f t="shared" si="1"/>
        <v>0</v>
      </c>
      <c r="D35" s="57">
        <v>0.15</v>
      </c>
      <c r="E35" s="58">
        <f t="shared" si="0"/>
        <v>0</v>
      </c>
      <c r="G35" s="235">
        <f>F58*15</f>
        <v>73050</v>
      </c>
      <c r="H35" s="319">
        <f>G35-G34</f>
        <v>24350</v>
      </c>
    </row>
    <row r="36" spans="1:10" ht="15" customHeight="1" hidden="1" thickBot="1">
      <c r="A36" s="20">
        <f>IF(C55&gt;=G36,H36,C55-G35)</f>
        <v>-73050</v>
      </c>
      <c r="B36" s="59" t="s">
        <v>11</v>
      </c>
      <c r="C36" s="241">
        <f t="shared" si="1"/>
        <v>0</v>
      </c>
      <c r="D36" s="61">
        <v>0.2</v>
      </c>
      <c r="E36" s="62">
        <f t="shared" si="0"/>
        <v>0</v>
      </c>
      <c r="G36" s="236">
        <f>50*F58</f>
        <v>243500</v>
      </c>
      <c r="H36" s="193">
        <f>G36-G35</f>
        <v>170450</v>
      </c>
      <c r="I36" s="155"/>
      <c r="J36" s="155"/>
    </row>
    <row r="37" spans="1:8" ht="15" customHeight="1" hidden="1" thickBot="1">
      <c r="A37" s="20">
        <f>IF(C55&gt;=G37,H37,C55-G36)</f>
        <v>-243500</v>
      </c>
      <c r="B37" s="63" t="s">
        <v>91</v>
      </c>
      <c r="C37" s="242">
        <f t="shared" si="1"/>
        <v>0</v>
      </c>
      <c r="D37" s="65">
        <v>0.22</v>
      </c>
      <c r="E37" s="66">
        <f t="shared" si="0"/>
        <v>0</v>
      </c>
      <c r="G37" s="237">
        <f>75*F58</f>
        <v>365250</v>
      </c>
      <c r="H37" s="193">
        <f>G37-G36</f>
        <v>121750</v>
      </c>
    </row>
    <row r="38" spans="1:8" ht="15" customHeight="1" hidden="1" thickBot="1">
      <c r="A38" s="21">
        <f>IF(C55&gt;=G38,H38,C55-G37)</f>
        <v>-365250</v>
      </c>
      <c r="B38" s="67" t="s">
        <v>93</v>
      </c>
      <c r="C38" s="243">
        <f t="shared" si="1"/>
        <v>0</v>
      </c>
      <c r="D38" s="201">
        <v>0.25</v>
      </c>
      <c r="E38" s="139">
        <f t="shared" si="0"/>
        <v>0</v>
      </c>
      <c r="G38" s="245">
        <f>115*F58</f>
        <v>560050</v>
      </c>
      <c r="H38" s="193">
        <f>G38-G37</f>
        <v>194800</v>
      </c>
    </row>
    <row r="39" spans="1:5" ht="15" customHeight="1" hidden="1" thickBot="1">
      <c r="A39" s="229">
        <f>IF(C55&gt;G38,C55-G38,0)</f>
        <v>0</v>
      </c>
      <c r="B39" s="230" t="s">
        <v>92</v>
      </c>
      <c r="C39" s="244">
        <f t="shared" si="1"/>
        <v>0</v>
      </c>
      <c r="D39" s="231">
        <v>0.3</v>
      </c>
      <c r="E39" s="232">
        <f t="shared" si="0"/>
        <v>0</v>
      </c>
    </row>
    <row r="40" spans="3:7" ht="18.75" customHeight="1" hidden="1" thickBot="1" thickTop="1">
      <c r="C40" s="407" t="s">
        <v>90</v>
      </c>
      <c r="D40" s="408"/>
      <c r="E40" s="228">
        <f>SUM(E33:E39)</f>
        <v>0</v>
      </c>
      <c r="F40" s="250"/>
      <c r="G40" s="190"/>
    </row>
    <row r="41" spans="3:7" ht="12.75" customHeight="1" hidden="1" thickTop="1">
      <c r="C41" s="192"/>
      <c r="D41" s="192"/>
      <c r="E41" s="200"/>
      <c r="F41" s="190"/>
      <c r="G41" s="190"/>
    </row>
    <row r="42" spans="3:7" ht="7.5" customHeight="1" hidden="1">
      <c r="C42" s="192"/>
      <c r="D42" s="192"/>
      <c r="E42" s="200"/>
      <c r="F42" s="190"/>
      <c r="G42" s="190"/>
    </row>
    <row r="43" spans="3:7" ht="10.5" customHeight="1" thickBot="1">
      <c r="C43" s="192"/>
      <c r="D43" s="192"/>
      <c r="E43" s="200"/>
      <c r="F43" s="190"/>
      <c r="G43" s="190"/>
    </row>
    <row r="44" spans="2:7" ht="21" customHeight="1" thickBot="1" thickTop="1">
      <c r="B44" s="424" t="s">
        <v>68</v>
      </c>
      <c r="C44" s="425"/>
      <c r="D44" s="425"/>
      <c r="E44" s="425"/>
      <c r="F44" s="426">
        <f>C54</f>
        <v>0</v>
      </c>
      <c r="G44" s="427"/>
    </row>
    <row r="45" spans="2:7" ht="19.5" customHeight="1" hidden="1">
      <c r="B45" s="202"/>
      <c r="C45" s="203" t="s">
        <v>67</v>
      </c>
      <c r="D45" s="203"/>
      <c r="E45" s="204"/>
      <c r="F45" s="225"/>
      <c r="G45" s="225"/>
    </row>
    <row r="46" spans="3:7" ht="14.25" customHeight="1" hidden="1" thickBot="1">
      <c r="C46" s="192"/>
      <c r="D46" s="192"/>
      <c r="E46" s="200"/>
      <c r="F46" s="226"/>
      <c r="G46" s="226"/>
    </row>
    <row r="47" spans="1:7" ht="22.5" customHeight="1" hidden="1" thickBot="1" thickTop="1">
      <c r="A47" s="23"/>
      <c r="B47" s="355" t="s">
        <v>54</v>
      </c>
      <c r="C47" s="410">
        <f>IF(E40-DEDUCCIONES!E42&lt;0,0,E40-DEDUCCIONES!E42)</f>
        <v>0</v>
      </c>
      <c r="D47" s="411"/>
      <c r="E47" s="356" t="s">
        <v>55</v>
      </c>
      <c r="F47" s="422">
        <f>C53</f>
        <v>0</v>
      </c>
      <c r="G47" s="423"/>
    </row>
    <row r="48" spans="1:7" ht="22.5" customHeight="1" thickBot="1" thickTop="1">
      <c r="A48" s="37"/>
      <c r="B48" s="357" t="s">
        <v>54</v>
      </c>
      <c r="C48" s="412">
        <f>C110</f>
        <v>0</v>
      </c>
      <c r="D48" s="413"/>
      <c r="E48" s="358" t="s">
        <v>55</v>
      </c>
      <c r="F48" s="414">
        <f>C53</f>
        <v>0</v>
      </c>
      <c r="G48" s="415"/>
    </row>
    <row r="49" spans="1:7" ht="15.75" customHeight="1" hidden="1" thickTop="1">
      <c r="A49" s="37"/>
      <c r="F49" s="18"/>
      <c r="G49" s="12"/>
    </row>
    <row r="50" spans="3:7" ht="13.5" hidden="1" thickBot="1">
      <c r="C50" s="1"/>
      <c r="G50" s="3"/>
    </row>
    <row r="51" spans="1:7" ht="14.25" customHeight="1" hidden="1" thickBot="1">
      <c r="A51" s="1"/>
      <c r="B51" s="31" t="s">
        <v>29</v>
      </c>
      <c r="C51" s="32">
        <f>IF(A12&gt;0,A12*0.125%,0)</f>
        <v>0</v>
      </c>
      <c r="E51" s="212" t="s">
        <v>80</v>
      </c>
      <c r="F51" s="213">
        <f>(10*F58)+1</f>
        <v>48701</v>
      </c>
      <c r="G51" s="214">
        <f>(10*F58)</f>
        <v>48700</v>
      </c>
    </row>
    <row r="52" spans="2:6" ht="15" customHeight="1" hidden="1" thickBot="1">
      <c r="B52" s="28" t="s">
        <v>81</v>
      </c>
      <c r="C52" s="30">
        <f>D52</f>
        <v>0</v>
      </c>
      <c r="D52" s="215">
        <f>IF(A9&lt;=0,A12,A12+A9)</f>
        <v>0</v>
      </c>
      <c r="E52" s="401" t="s">
        <v>6</v>
      </c>
      <c r="F52" s="402"/>
    </row>
    <row r="53" spans="2:10" ht="18" customHeight="1" hidden="1" thickBot="1">
      <c r="B53" s="29" t="s">
        <v>55</v>
      </c>
      <c r="C53" s="33">
        <f>IF(C52&lt;=G58,C52*3%,IF(G5&gt;0,C52*6%,C52*4.5%))+F59</f>
        <v>0</v>
      </c>
      <c r="D53" s="164" t="s">
        <v>48</v>
      </c>
      <c r="E53" s="4">
        <v>0</v>
      </c>
      <c r="F53" s="10">
        <f>3*F58</f>
        <v>14610</v>
      </c>
      <c r="G53" s="158">
        <f>(F53+2)*1.02</f>
        <v>14904.24</v>
      </c>
      <c r="H53" s="158">
        <f>F53-(F53*2%)</f>
        <v>14317.8</v>
      </c>
      <c r="I53" s="1"/>
      <c r="J53" s="1"/>
    </row>
    <row r="54" spans="2:10" ht="15" customHeight="1" hidden="1" thickBot="1">
      <c r="B54" s="82" t="s">
        <v>0</v>
      </c>
      <c r="C54" s="83">
        <f>E101</f>
        <v>0</v>
      </c>
      <c r="D54" s="32">
        <f>C54+C53+C51</f>
        <v>0</v>
      </c>
      <c r="E54" s="5">
        <v>0.02</v>
      </c>
      <c r="F54" s="11">
        <f>6*F58</f>
        <v>29220</v>
      </c>
      <c r="G54" s="158">
        <f>(F54+35)*1.06</f>
        <v>31010.300000000003</v>
      </c>
      <c r="H54" s="160">
        <f>F54-(F54*2%)</f>
        <v>28635.6</v>
      </c>
      <c r="I54" s="1"/>
      <c r="J54" s="1"/>
    </row>
    <row r="55" spans="2:10" ht="15" customHeight="1" hidden="1" thickBot="1">
      <c r="B55" s="78" t="s">
        <v>10</v>
      </c>
      <c r="C55" s="79">
        <f>G3+C56</f>
        <v>0</v>
      </c>
      <c r="D55" s="155"/>
      <c r="E55" s="6">
        <v>0.06</v>
      </c>
      <c r="F55" s="163">
        <f>(F58*6)+1</f>
        <v>29221</v>
      </c>
      <c r="G55" s="158">
        <f>(F54+4)*1.02</f>
        <v>29808.48</v>
      </c>
      <c r="H55" s="159"/>
      <c r="I55" s="1"/>
      <c r="J55" s="1"/>
    </row>
    <row r="56" spans="2:7" ht="15.75" customHeight="1" hidden="1" thickBot="1">
      <c r="B56" s="80" t="s">
        <v>79</v>
      </c>
      <c r="C56" s="81">
        <f>IF(G3&lt;F51,0,(D52*6%))</f>
        <v>0</v>
      </c>
      <c r="E56" s="161"/>
      <c r="F56" s="162"/>
      <c r="G56" s="1"/>
    </row>
    <row r="57" spans="2:7" ht="17.25" customHeight="1" hidden="1" thickBot="1">
      <c r="B57" s="223"/>
      <c r="C57" s="224"/>
      <c r="F57" s="2"/>
      <c r="G57" s="189" t="s">
        <v>52</v>
      </c>
    </row>
    <row r="58" spans="2:7" ht="21" hidden="1" thickBot="1">
      <c r="B58" s="84" t="s">
        <v>28</v>
      </c>
      <c r="C58" s="85" t="e">
        <f>#REF!+F47</f>
        <v>#REF!</v>
      </c>
      <c r="E58" s="25" t="s">
        <v>4</v>
      </c>
      <c r="F58" s="77">
        <f>DEDUCCIONES!E62</f>
        <v>4870</v>
      </c>
      <c r="G58" s="188">
        <f>2.5*F58</f>
        <v>12175</v>
      </c>
    </row>
    <row r="59" spans="2:6" ht="18.75" hidden="1" thickBot="1">
      <c r="B59" s="148" t="s">
        <v>42</v>
      </c>
      <c r="C59" s="149">
        <f>C51+C53+C54</f>
        <v>0</v>
      </c>
      <c r="E59" s="210" t="s">
        <v>76</v>
      </c>
      <c r="F59" s="211">
        <f>IF(G7=1,C52*2%,0)</f>
        <v>0</v>
      </c>
    </row>
    <row r="60" ht="13.5" customHeight="1" hidden="1" thickBot="1"/>
    <row r="61" spans="2:8" ht="19.5" customHeight="1" hidden="1" thickBot="1" thickTop="1">
      <c r="B61" s="403" t="s">
        <v>89</v>
      </c>
      <c r="C61" s="404"/>
      <c r="D61" s="404"/>
      <c r="E61" s="405"/>
      <c r="F61" s="406"/>
      <c r="G61" s="406"/>
      <c r="H61">
        <v>3340</v>
      </c>
    </row>
    <row r="62" spans="2:7" ht="15.75" customHeight="1" hidden="1" thickBot="1" thickTop="1">
      <c r="B62" s="144" t="s">
        <v>5</v>
      </c>
      <c r="C62" s="144" t="s">
        <v>7</v>
      </c>
      <c r="D62" s="144" t="s">
        <v>8</v>
      </c>
      <c r="E62" s="144" t="s">
        <v>50</v>
      </c>
      <c r="F62" s="38"/>
      <c r="G62" s="113" t="s">
        <v>5</v>
      </c>
    </row>
    <row r="63" spans="1:7" ht="13.5" customHeight="1" hidden="1" thickBot="1">
      <c r="A63" s="19">
        <f>G63</f>
        <v>34090</v>
      </c>
      <c r="B63" s="47" t="s">
        <v>56</v>
      </c>
      <c r="C63" s="238">
        <f>G63</f>
        <v>34090</v>
      </c>
      <c r="D63" s="49">
        <v>0</v>
      </c>
      <c r="E63" s="50">
        <f aca="true" t="shared" si="2" ref="E63:E70">C63*D63</f>
        <v>0</v>
      </c>
      <c r="G63" s="233">
        <f>7*F58</f>
        <v>34090</v>
      </c>
    </row>
    <row r="64" spans="1:8" ht="13.5" customHeight="1" hidden="1" thickBot="1">
      <c r="A64" s="20">
        <f>IF(C55&gt;=G64,H64,C55-G63)</f>
        <v>-34090</v>
      </c>
      <c r="B64" s="51" t="s">
        <v>57</v>
      </c>
      <c r="C64" s="239">
        <f aca="true" t="shared" si="3" ref="C64:C70">IF(A64&lt;=0,0,A64)</f>
        <v>0</v>
      </c>
      <c r="D64" s="53">
        <v>0.1</v>
      </c>
      <c r="E64" s="54">
        <f t="shared" si="2"/>
        <v>0</v>
      </c>
      <c r="G64" s="234">
        <f>F58*10</f>
        <v>48700</v>
      </c>
      <c r="H64" s="74">
        <f aca="true" t="shared" si="4" ref="H64:H69">G64-G63</f>
        <v>14610</v>
      </c>
    </row>
    <row r="65" spans="1:8" ht="13.5" customHeight="1" hidden="1" thickBot="1">
      <c r="A65" s="20">
        <f>IF(C55&gt;=G65,H65,C55-G64)</f>
        <v>-48700</v>
      </c>
      <c r="B65" s="55" t="s">
        <v>3</v>
      </c>
      <c r="C65" s="240">
        <f t="shared" si="3"/>
        <v>0</v>
      </c>
      <c r="D65" s="57">
        <v>0.15</v>
      </c>
      <c r="E65" s="58">
        <f t="shared" si="2"/>
        <v>0</v>
      </c>
      <c r="G65" s="235">
        <f>F58*15</f>
        <v>73050</v>
      </c>
      <c r="H65" s="74">
        <f t="shared" si="4"/>
        <v>24350</v>
      </c>
    </row>
    <row r="66" spans="1:8" ht="13.5" customHeight="1" hidden="1" thickBot="1">
      <c r="A66" s="20">
        <f>IF(C55&gt;=G66,H66,C55-G65)</f>
        <v>-73050</v>
      </c>
      <c r="B66" s="55" t="s">
        <v>117</v>
      </c>
      <c r="C66" s="240">
        <f t="shared" si="3"/>
        <v>0</v>
      </c>
      <c r="D66" s="57">
        <v>0.24</v>
      </c>
      <c r="E66" s="58">
        <f t="shared" si="2"/>
        <v>0</v>
      </c>
      <c r="G66" s="235">
        <f>F58*30</f>
        <v>146100</v>
      </c>
      <c r="H66" s="74">
        <f t="shared" si="4"/>
        <v>73050</v>
      </c>
    </row>
    <row r="67" spans="1:10" ht="13.5" customHeight="1" hidden="1" thickBot="1">
      <c r="A67" s="20">
        <f>IF(C55&gt;=G67,H67,C55-G66)</f>
        <v>-146100</v>
      </c>
      <c r="B67" s="59" t="s">
        <v>118</v>
      </c>
      <c r="C67" s="241">
        <f t="shared" si="3"/>
        <v>0</v>
      </c>
      <c r="D67" s="61">
        <v>0.25</v>
      </c>
      <c r="E67" s="62">
        <f t="shared" si="2"/>
        <v>0</v>
      </c>
      <c r="G67" s="236">
        <f>50*F58</f>
        <v>243500</v>
      </c>
      <c r="H67" s="298">
        <f t="shared" si="4"/>
        <v>97400</v>
      </c>
      <c r="I67" s="155">
        <f>+G63+H64+H65+H66+H67</f>
        <v>243500</v>
      </c>
      <c r="J67" s="155"/>
    </row>
    <row r="68" spans="1:8" ht="13.5" customHeight="1" hidden="1" thickBot="1">
      <c r="A68" s="20">
        <f>IF(C55&gt;=G68,H68,C55-G67)</f>
        <v>-243500</v>
      </c>
      <c r="B68" s="63" t="s">
        <v>91</v>
      </c>
      <c r="C68" s="242">
        <f t="shared" si="3"/>
        <v>0</v>
      </c>
      <c r="D68" s="65">
        <v>0.27</v>
      </c>
      <c r="E68" s="66">
        <f t="shared" si="2"/>
        <v>0</v>
      </c>
      <c r="G68" s="237">
        <f>75*F58</f>
        <v>365250</v>
      </c>
      <c r="H68" s="193">
        <f t="shared" si="4"/>
        <v>121750</v>
      </c>
    </row>
    <row r="69" spans="1:8" ht="13.5" customHeight="1" hidden="1" thickBot="1">
      <c r="A69" s="21">
        <f>IF(C55&gt;=G69,H69,C55-G68)</f>
        <v>-365250</v>
      </c>
      <c r="B69" s="67" t="s">
        <v>93</v>
      </c>
      <c r="C69" s="243">
        <f t="shared" si="3"/>
        <v>0</v>
      </c>
      <c r="D69" s="201">
        <v>0.31</v>
      </c>
      <c r="E69" s="139">
        <f t="shared" si="2"/>
        <v>0</v>
      </c>
      <c r="G69" s="245">
        <f>115*F58</f>
        <v>560050</v>
      </c>
      <c r="H69" s="193">
        <f t="shared" si="4"/>
        <v>194800</v>
      </c>
    </row>
    <row r="70" spans="1:5" ht="13.5" customHeight="1" hidden="1" thickBot="1">
      <c r="A70" s="229">
        <f>IF(C55&gt;G69,C55-G69,0)</f>
        <v>0</v>
      </c>
      <c r="B70" s="230" t="s">
        <v>92</v>
      </c>
      <c r="C70" s="244">
        <f t="shared" si="3"/>
        <v>0</v>
      </c>
      <c r="D70" s="231">
        <v>0.36</v>
      </c>
      <c r="E70" s="232">
        <f t="shared" si="2"/>
        <v>0</v>
      </c>
    </row>
    <row r="71" spans="3:7" ht="13.5" customHeight="1" hidden="1" thickBot="1" thickTop="1">
      <c r="C71" s="407" t="s">
        <v>90</v>
      </c>
      <c r="D71" s="408"/>
      <c r="E71" s="228">
        <f>SUM(E63:E70)</f>
        <v>0</v>
      </c>
      <c r="F71" s="409"/>
      <c r="G71" s="409"/>
    </row>
    <row r="72" spans="3:7" ht="13.5" customHeight="1" hidden="1" thickBot="1" thickTop="1">
      <c r="C72" s="262"/>
      <c r="D72" s="262"/>
      <c r="E72" s="263"/>
      <c r="F72" s="190"/>
      <c r="G72" s="190"/>
    </row>
    <row r="73" spans="3:7" ht="20.25" customHeight="1" hidden="1" thickBot="1">
      <c r="C73" s="448" t="s">
        <v>97</v>
      </c>
      <c r="D73" s="449"/>
      <c r="E73" s="264">
        <f>IF((E71-DEDUCCIONES!E58&lt;=G73),G73,E71-DEDUCCIONES!E58)</f>
        <v>0</v>
      </c>
      <c r="G73" s="285">
        <v>0</v>
      </c>
    </row>
    <row r="74" ht="12.75" hidden="1">
      <c r="G74" s="18"/>
    </row>
    <row r="75" ht="12.75" hidden="1">
      <c r="G75" s="284">
        <f>SUM(C63:C67)</f>
        <v>34090</v>
      </c>
    </row>
    <row r="76" ht="13.5" hidden="1" thickBot="1">
      <c r="G76" s="156"/>
    </row>
    <row r="77" spans="2:8" ht="16.5" hidden="1" thickBot="1">
      <c r="B77" s="120" t="s">
        <v>32</v>
      </c>
      <c r="C77" s="121"/>
      <c r="D77" s="122"/>
      <c r="G77" s="157"/>
      <c r="H77" s="155"/>
    </row>
    <row r="78" ht="13.5" hidden="1" thickBot="1">
      <c r="C78" s="115"/>
    </row>
    <row r="79" spans="3:7" ht="13.5" hidden="1" thickBot="1">
      <c r="C79" s="173">
        <f>IF(B12&gt;G54,B12*6%,(IF(B12&lt;=F53,0,IF(AND(B12&gt;F53,B12&lt;=G53),B12*2%-(F53-(B12-(B12*2%))),IF(AND(B12&gt;F54,B12&lt;=G54),B12*6%-(H54-(B12-(B12*6%))),B12*2%)))))</f>
        <v>0</v>
      </c>
      <c r="E79" s="118" t="s">
        <v>34</v>
      </c>
      <c r="G79" s="155"/>
    </row>
    <row r="80" spans="3:7" ht="16.5" hidden="1" thickBot="1">
      <c r="C80" s="173">
        <f>IF(C12&gt;G54,C12*6%,(IF(C12&lt;=F53,0,IF(AND(C12&gt;F53,C12&lt;=G53),C12*2%-(F53-(C12-(C12*2%))),IF(AND(C12&gt;F54,C12&lt;=G54),C12*6%-(H54-(C12-(C12*6%))),C12*2%)))))</f>
        <v>0</v>
      </c>
      <c r="E80" s="81">
        <f>IF(G25&gt;G55,G25*2%,(IF(G25&lt;=F54,0,G25-F54)))+IF(E25&gt;G55,E25*2%,(IF(E25&lt;=F54,0,E25-F54)))+IF(D25&gt;G55,D25*2%,(IF(D25&lt;=F54,0,D25-F54)))</f>
        <v>0</v>
      </c>
      <c r="G80" s="155"/>
    </row>
    <row r="81" spans="3:7" ht="13.5" hidden="1" thickBot="1">
      <c r="C81" s="173">
        <f>IF(D12&gt;G54,D12*6%,(IF(D12&lt;=F53,0,IF(AND(D12&gt;F53,D12&lt;=G53),D12*2%-(F53-(D12-(D12*2%))),IF(AND(D12&gt;F54,D12&lt;=G54),D12*6%-(H54-(D12-(D12*6%))),D12*2%)))))</f>
        <v>0</v>
      </c>
      <c r="G81" s="155"/>
    </row>
    <row r="82" spans="3:5" ht="13.5" hidden="1" thickBot="1">
      <c r="C82" s="173">
        <f>IF(E12&gt;G54,E12*6%,(IF(E12&lt;=F53,0,IF(AND(E12&gt;F53,E12&lt;=G53),E12*2%-(F53-(E12-(E12*2%))),IF(AND(E12&gt;F54,E12&lt;=G54),E12*6%-(H54-(E12-(E12*6%))),E12*2%)))))</f>
        <v>0</v>
      </c>
      <c r="E82" s="119" t="s">
        <v>35</v>
      </c>
    </row>
    <row r="83" spans="3:7" ht="16.5" hidden="1" thickBot="1">
      <c r="C83" s="173">
        <f>IF(F12&gt;G54,F12*6%,(IF(F12&lt;=F53,0,IF(AND(F12&gt;F53,F12&lt;=G53),F12*2%-(F53-(F12-(F12*2%))),IF(AND(F12&gt;F54,F12&lt;=G54),F12*6%-(H54-(F12-(F12*6%))),F12*2%)))))</f>
        <v>0</v>
      </c>
      <c r="E83" s="175">
        <f>IF(G29&gt;G55,G29*2%,(IF(G29&lt;=F54,0,G29-F54)))+IF(E29&gt;G55,E29*2%,(IF(E29&lt;=F54,0,E29-F54)))+IF(D29&gt;G55,D29*2%,(IF(D29&lt;=F54,0,D29-F54)))</f>
        <v>0</v>
      </c>
      <c r="G83" s="155"/>
    </row>
    <row r="84" ht="13.5" hidden="1" thickBot="1">
      <c r="C84" s="173">
        <f>IF(G12&gt;G54,G12*6%,(IF(G12&lt;=F53,0,IF(AND(G12&gt;F53,G12&lt;=G53),G12*2%-(F53-(G12-(G12*2%))),IF(AND(G12&gt;F54,G12&lt;=G54),G12*6%-(H54-(G12-(G12*6%))),G12*2%)))))</f>
        <v>0</v>
      </c>
    </row>
    <row r="85" spans="2:3" ht="18.75" hidden="1" thickBot="1">
      <c r="B85" s="123" t="s">
        <v>33</v>
      </c>
      <c r="C85" s="174">
        <f>SUM(C79:C84)</f>
        <v>0</v>
      </c>
    </row>
    <row r="86" ht="13.5" hidden="1" thickBot="1"/>
    <row r="87" spans="2:4" ht="16.5" hidden="1" thickBot="1">
      <c r="B87" s="485" t="s">
        <v>36</v>
      </c>
      <c r="C87" s="486"/>
      <c r="D87" s="487"/>
    </row>
    <row r="88" ht="12.75" hidden="1">
      <c r="C88" s="176">
        <f>IF(G9&gt;G54,G9*6%,(IF(G9&lt;=F53,0,IF(AND(G9&gt;F53,G9&lt;=G53),G9*2%-(F53-(G9-(G9*2%))),IF(AND(G9&gt;F54,G9&lt;=G54),G9*6%-(H54-(G9-(G9*6%))),G9*2%)))))</f>
        <v>0</v>
      </c>
    </row>
    <row r="89" ht="13.5" hidden="1" thickBot="1">
      <c r="C89" s="177">
        <f>IF(E9&gt;G54,E9*6%,(IF(E9&lt;=F53,0,IF(AND(E9&gt;F53,E9&lt;=G53),E9*2%-(F53-(E9-(E9*2%))),IF(AND(E9&gt;F54,E9&lt;=G54),E9*6%-(H54-(E9-(E9*6%))),E9*2%)))))</f>
        <v>0</v>
      </c>
    </row>
    <row r="90" spans="3:5" ht="16.5" hidden="1" thickBot="1">
      <c r="C90" s="178">
        <f>IF(D9&gt;G54,D9*6%,(IF(D9&lt;=F53,0,IF(AND(D9&gt;F53,D9&lt;=G53),D9*2%-(F53-(D9-(D9*2%))),IF(AND(D9&gt;F54,D9&lt;=G54),D9*6%-(H54-(D9-(D9*6%))),D9*2%)))))</f>
        <v>0</v>
      </c>
      <c r="E90" s="205" t="s">
        <v>28</v>
      </c>
    </row>
    <row r="91" spans="2:5" ht="18.75" hidden="1" thickBot="1">
      <c r="B91" s="131" t="s">
        <v>33</v>
      </c>
      <c r="C91" s="179">
        <f>SUM(C88:C90)</f>
        <v>0</v>
      </c>
      <c r="E91" s="149">
        <f>C85+C91</f>
        <v>0</v>
      </c>
    </row>
    <row r="92" ht="12.75" hidden="1"/>
    <row r="93" ht="12.75" hidden="1"/>
    <row r="94" ht="12.75" hidden="1"/>
    <row r="95" ht="13.5" hidden="1" thickBot="1"/>
    <row r="96" spans="3:5" ht="13.5" hidden="1" thickBot="1">
      <c r="C96" s="448" t="s">
        <v>37</v>
      </c>
      <c r="D96" s="449"/>
      <c r="E96" s="75">
        <f>DEDUCCIONES!E69</f>
        <v>188411</v>
      </c>
    </row>
    <row r="97" ht="13.5" hidden="1" thickBot="1"/>
    <row r="98" spans="4:5" ht="16.5" hidden="1" thickBot="1">
      <c r="D98" s="74" t="s">
        <v>38</v>
      </c>
      <c r="E98" s="146">
        <f>C52*15%</f>
        <v>0</v>
      </c>
    </row>
    <row r="99" spans="4:5" ht="16.5" hidden="1" thickBot="1">
      <c r="D99" s="74" t="s">
        <v>39</v>
      </c>
      <c r="E99" s="146">
        <f>IF(C52&lt;=E96,C52*15%,E96*15%)</f>
        <v>0</v>
      </c>
    </row>
    <row r="100" ht="13.5" hidden="1" thickBot="1">
      <c r="E100" s="1"/>
    </row>
    <row r="101" spans="4:5" ht="18.75" hidden="1" thickBot="1">
      <c r="D101" s="74" t="s">
        <v>41</v>
      </c>
      <c r="E101" s="147">
        <f>IF(G6=1,E99,E98)</f>
        <v>0</v>
      </c>
    </row>
    <row r="102" ht="12.75" hidden="1"/>
    <row r="103" ht="12.75" hidden="1"/>
    <row r="104" ht="7.5" customHeight="1" thickBot="1" thickTop="1">
      <c r="E104" s="1"/>
    </row>
    <row r="105" spans="2:7" ht="27.75" customHeight="1" hidden="1" thickBot="1" thickTop="1">
      <c r="B105" s="479" t="s">
        <v>100</v>
      </c>
      <c r="C105" s="480"/>
      <c r="D105" s="481"/>
      <c r="E105" s="482">
        <f>C52-C59-C47+(G3-C52)</f>
        <v>0</v>
      </c>
      <c r="F105" s="483"/>
      <c r="G105" s="484"/>
    </row>
    <row r="106" spans="2:7" ht="27.75" customHeight="1" thickBot="1" thickTop="1">
      <c r="B106" s="488" t="s">
        <v>130</v>
      </c>
      <c r="C106" s="489"/>
      <c r="D106" s="490"/>
      <c r="E106" s="359">
        <f>F110</f>
        <v>0</v>
      </c>
      <c r="F106" s="360"/>
      <c r="G106" s="361"/>
    </row>
    <row r="107" spans="2:7" ht="10.5" customHeight="1" thickBot="1" thickTop="1">
      <c r="B107" s="269"/>
      <c r="C107" s="269"/>
      <c r="D107" s="269"/>
      <c r="E107" s="270"/>
      <c r="F107" s="270"/>
      <c r="G107" s="270"/>
    </row>
    <row r="108" spans="2:7" ht="27.75" customHeight="1" hidden="1" thickBot="1">
      <c r="B108" s="472" t="s">
        <v>128</v>
      </c>
      <c r="C108" s="473"/>
      <c r="D108" s="473"/>
      <c r="E108" s="473"/>
      <c r="F108" s="473"/>
      <c r="G108" s="474"/>
    </row>
    <row r="109" spans="2:7" ht="23.25" customHeight="1" hidden="1" thickBot="1">
      <c r="B109" s="354" t="s">
        <v>122</v>
      </c>
      <c r="C109" s="272" t="s">
        <v>124</v>
      </c>
      <c r="D109" s="428" t="s">
        <v>127</v>
      </c>
      <c r="E109" s="429"/>
      <c r="F109" s="470" t="s">
        <v>125</v>
      </c>
      <c r="G109" s="471"/>
    </row>
    <row r="110" spans="2:7" ht="23.25" customHeight="1" hidden="1" thickBot="1">
      <c r="B110" s="271">
        <f>C47</f>
        <v>0</v>
      </c>
      <c r="C110" s="273">
        <f>E73</f>
        <v>0</v>
      </c>
      <c r="D110" s="475">
        <f>E105</f>
        <v>0</v>
      </c>
      <c r="E110" s="476"/>
      <c r="F110" s="477">
        <f>C52-C59-C110+(G3-C52)</f>
        <v>0</v>
      </c>
      <c r="G110" s="478"/>
    </row>
    <row r="111" spans="2:7" ht="9.75" customHeight="1" hidden="1">
      <c r="B111" s="275"/>
      <c r="C111" s="275"/>
      <c r="D111" s="275"/>
      <c r="E111" s="269"/>
      <c r="F111" s="276"/>
      <c r="G111" s="276"/>
    </row>
    <row r="112" spans="2:7" ht="23.25" customHeight="1" hidden="1" thickBot="1">
      <c r="B112" s="365" t="s">
        <v>126</v>
      </c>
      <c r="C112" s="366"/>
      <c r="D112" s="366"/>
      <c r="E112" s="367"/>
      <c r="F112" s="368">
        <f>C110-B110</f>
        <v>0</v>
      </c>
      <c r="G112" s="369"/>
    </row>
    <row r="113" spans="2:7" ht="6.75" customHeight="1" hidden="1" thickBot="1">
      <c r="B113" s="278"/>
      <c r="C113" s="278"/>
      <c r="D113" s="278"/>
      <c r="E113" s="277"/>
      <c r="F113" s="276"/>
      <c r="G113" s="276"/>
    </row>
    <row r="114" spans="2:7" ht="18.75" customHeight="1" hidden="1" thickBot="1">
      <c r="B114" s="277"/>
      <c r="C114" s="370" t="s">
        <v>102</v>
      </c>
      <c r="D114" s="371"/>
      <c r="E114" s="372"/>
      <c r="F114" s="276"/>
      <c r="G114" s="276"/>
    </row>
    <row r="115" spans="2:7" ht="23.25" customHeight="1" hidden="1" thickBot="1">
      <c r="B115" s="376" t="s">
        <v>104</v>
      </c>
      <c r="C115" s="377"/>
      <c r="D115" s="377"/>
      <c r="E115" s="378"/>
      <c r="F115" s="379">
        <f>'ANTICIPOS MENSUALES'!E26-'ANTICIPOS MENSUALES'!E12</f>
        <v>0</v>
      </c>
      <c r="G115" s="380"/>
    </row>
    <row r="116" spans="2:7" ht="23.25" customHeight="1" hidden="1" thickBot="1">
      <c r="B116" s="373" t="s">
        <v>103</v>
      </c>
      <c r="C116" s="374"/>
      <c r="D116" s="374"/>
      <c r="E116" s="375"/>
      <c r="F116" s="381">
        <f>IF(DEDUCCIONES!E42-DEDUCCIONES!E58&gt;=F112,F112,DEDUCCIONES!E42-DEDUCCIONES!E58)</f>
        <v>0</v>
      </c>
      <c r="G116" s="382"/>
    </row>
    <row r="117" spans="2:7" ht="15.75" customHeight="1" hidden="1" thickBot="1">
      <c r="B117" s="279"/>
      <c r="C117" s="279"/>
      <c r="D117" s="279"/>
      <c r="E117" s="279"/>
      <c r="F117" s="276"/>
      <c r="G117" s="276"/>
    </row>
    <row r="118" ht="9" customHeight="1" hidden="1" thickBot="1"/>
    <row r="119" ht="13.5" customHeight="1" hidden="1" thickBot="1"/>
    <row r="120" spans="2:7" ht="21.75" customHeight="1" hidden="1" thickBot="1" thickTop="1">
      <c r="B120" s="461" t="s">
        <v>58</v>
      </c>
      <c r="C120" s="462"/>
      <c r="D120" s="462"/>
      <c r="E120" s="463"/>
      <c r="F120" s="464"/>
      <c r="G120" s="406"/>
    </row>
    <row r="121" spans="2:7" ht="16.5" customHeight="1" hidden="1" thickBot="1">
      <c r="B121" s="144" t="s">
        <v>5</v>
      </c>
      <c r="C121" s="144" t="s">
        <v>7</v>
      </c>
      <c r="D121" s="145" t="s">
        <v>8</v>
      </c>
      <c r="E121" s="144" t="s">
        <v>50</v>
      </c>
      <c r="F121" s="38"/>
      <c r="G121" s="113" t="s">
        <v>5</v>
      </c>
    </row>
    <row r="122" spans="1:7" ht="16.5" customHeight="1" hidden="1" thickBot="1">
      <c r="A122" s="19">
        <f>G122</f>
        <v>24350</v>
      </c>
      <c r="B122" s="47" t="s">
        <v>1</v>
      </c>
      <c r="C122" s="48">
        <f>G122</f>
        <v>24350</v>
      </c>
      <c r="D122" s="49">
        <v>0</v>
      </c>
      <c r="E122" s="50">
        <f aca="true" t="shared" si="5" ref="E122:E127">C122*D122</f>
        <v>0</v>
      </c>
      <c r="G122" s="42">
        <f>5*DEDUCCIONES!E62</f>
        <v>24350</v>
      </c>
    </row>
    <row r="123" spans="1:7" ht="16.5" customHeight="1" hidden="1" thickBot="1">
      <c r="A123" s="20">
        <f>IF(C55&gt;=G123,G122,C55-G122)</f>
        <v>-24350</v>
      </c>
      <c r="B123" s="51" t="s">
        <v>2</v>
      </c>
      <c r="C123" s="52">
        <f>IF(A123&lt;=0,0,A123)</f>
        <v>0</v>
      </c>
      <c r="D123" s="53">
        <v>0.1</v>
      </c>
      <c r="E123" s="54">
        <f t="shared" si="5"/>
        <v>0</v>
      </c>
      <c r="G123" s="43">
        <f>G122*2</f>
        <v>48700</v>
      </c>
    </row>
    <row r="124" spans="1:7" ht="16.5" customHeight="1" hidden="1" thickBot="1">
      <c r="A124" s="20">
        <f>IF(C55&gt;=G124,G122,C55-G123)</f>
        <v>-48700</v>
      </c>
      <c r="B124" s="55" t="s">
        <v>3</v>
      </c>
      <c r="C124" s="56">
        <f>IF(A124&lt;=0,0,A124)</f>
        <v>0</v>
      </c>
      <c r="D124" s="57">
        <v>0.15</v>
      </c>
      <c r="E124" s="58">
        <f t="shared" si="5"/>
        <v>0</v>
      </c>
      <c r="G124" s="44">
        <f>G122*3</f>
        <v>73050</v>
      </c>
    </row>
    <row r="125" spans="1:7" ht="16.5" customHeight="1" hidden="1" thickBot="1">
      <c r="A125" s="20">
        <f>IF(C55&gt;=G125,G125-G124,C55-G124)</f>
        <v>-73050</v>
      </c>
      <c r="B125" s="59" t="s">
        <v>11</v>
      </c>
      <c r="C125" s="60">
        <f>IF(A125&lt;=0,0,A125)</f>
        <v>0</v>
      </c>
      <c r="D125" s="61">
        <v>0.2</v>
      </c>
      <c r="E125" s="62">
        <f t="shared" si="5"/>
        <v>0</v>
      </c>
      <c r="G125" s="45">
        <f>50*DEDUCCIONES!E62</f>
        <v>243500</v>
      </c>
    </row>
    <row r="126" spans="1:7" ht="16.5" customHeight="1" hidden="1" thickBot="1">
      <c r="A126" s="20">
        <f>IF(C55&gt;=G126,G126-G125,C55-G125)</f>
        <v>-243500</v>
      </c>
      <c r="B126" s="63" t="s">
        <v>12</v>
      </c>
      <c r="C126" s="64">
        <f>IF(A126&lt;=0,0,A126)</f>
        <v>0</v>
      </c>
      <c r="D126" s="65">
        <v>0.22</v>
      </c>
      <c r="E126" s="66">
        <f t="shared" si="5"/>
        <v>0</v>
      </c>
      <c r="G126" s="46">
        <f>100*DEDUCCIONES!E62</f>
        <v>487000</v>
      </c>
    </row>
    <row r="127" spans="1:5" ht="16.5" customHeight="1" hidden="1" thickBot="1">
      <c r="A127" s="21">
        <f>IF(C55&gt;G126,C55-G126,0)</f>
        <v>0</v>
      </c>
      <c r="B127" s="67" t="s">
        <v>13</v>
      </c>
      <c r="C127" s="68">
        <f>IF(A127&lt;=0,0,A127)</f>
        <v>0</v>
      </c>
      <c r="D127" s="69">
        <v>0.25</v>
      </c>
      <c r="E127" s="139">
        <f t="shared" si="5"/>
        <v>0</v>
      </c>
    </row>
    <row r="128" spans="3:7" ht="22.5" customHeight="1" hidden="1" thickBot="1">
      <c r="C128" s="465" t="s">
        <v>30</v>
      </c>
      <c r="D128" s="466"/>
      <c r="E128" s="191">
        <f>SUM(E123:E127)</f>
        <v>0</v>
      </c>
      <c r="F128" s="467"/>
      <c r="G128" s="409"/>
    </row>
    <row r="129" spans="3:7" ht="22.5" customHeight="1" hidden="1" thickBot="1">
      <c r="C129" s="432" t="s">
        <v>60</v>
      </c>
      <c r="D129" s="433"/>
      <c r="E129" s="197">
        <f>DEDUCCIONES!E80</f>
        <v>0</v>
      </c>
      <c r="F129" s="190"/>
      <c r="G129" s="190"/>
    </row>
    <row r="130" spans="2:6" ht="18.75" customHeight="1" hidden="1" thickBot="1">
      <c r="B130" s="434" t="s">
        <v>59</v>
      </c>
      <c r="C130" s="435"/>
      <c r="D130" s="436"/>
      <c r="E130" s="194">
        <f>E128-DEDUCCIONES!E80</f>
        <v>0</v>
      </c>
      <c r="F130" s="195">
        <f>C47</f>
        <v>0</v>
      </c>
    </row>
    <row r="131" spans="2:6" ht="18.75" customHeight="1" hidden="1" thickBot="1">
      <c r="B131" s="12"/>
      <c r="C131" s="12"/>
      <c r="D131" s="12"/>
      <c r="E131" s="181"/>
      <c r="F131" s="181"/>
    </row>
    <row r="132" spans="2:16" ht="18.75" customHeight="1" thickBot="1">
      <c r="B132" s="468" t="s">
        <v>84</v>
      </c>
      <c r="C132" s="469"/>
      <c r="D132" s="220">
        <f>C55</f>
        <v>0</v>
      </c>
      <c r="E132" s="428" t="s">
        <v>83</v>
      </c>
      <c r="F132" s="429"/>
      <c r="G132" s="188">
        <f>C55-C56</f>
        <v>0</v>
      </c>
      <c r="O132" s="155"/>
      <c r="P132" s="155"/>
    </row>
    <row r="133" spans="2:4" ht="18.75" customHeight="1" hidden="1" thickBot="1">
      <c r="B133" s="430" t="s">
        <v>85</v>
      </c>
      <c r="C133" s="431"/>
      <c r="D133" s="221">
        <f>DEDUCCIONES!E20</f>
        <v>0</v>
      </c>
    </row>
    <row r="134" spans="2:4" ht="18.75" customHeight="1">
      <c r="B134" s="218"/>
      <c r="C134" s="218"/>
      <c r="D134" s="219"/>
    </row>
    <row r="135" spans="2:7" ht="18" customHeight="1" hidden="1" thickBot="1" thickTop="1">
      <c r="B135" s="458" t="s">
        <v>70</v>
      </c>
      <c r="C135" s="459"/>
      <c r="D135" s="459"/>
      <c r="E135" s="459"/>
      <c r="F135" s="460"/>
      <c r="G135" s="208" t="s">
        <v>71</v>
      </c>
    </row>
    <row r="136" spans="2:7" ht="21" customHeight="1" hidden="1" thickBot="1" thickTop="1">
      <c r="B136" s="227" t="s">
        <v>87</v>
      </c>
      <c r="C136" s="456" t="s">
        <v>74</v>
      </c>
      <c r="D136" s="457"/>
      <c r="E136" s="454" t="s">
        <v>73</v>
      </c>
      <c r="F136" s="455"/>
      <c r="G136" s="209" t="s">
        <v>72</v>
      </c>
    </row>
    <row r="137" spans="2:7" ht="24" customHeight="1" hidden="1" thickBot="1" thickTop="1">
      <c r="B137" s="222">
        <f>E91</f>
        <v>0</v>
      </c>
      <c r="C137" s="450">
        <f>E130</f>
        <v>0</v>
      </c>
      <c r="D137" s="451"/>
      <c r="E137" s="452">
        <f>F130</f>
        <v>0</v>
      </c>
      <c r="F137" s="453"/>
      <c r="G137" s="217">
        <f>E137-B137</f>
        <v>0</v>
      </c>
    </row>
    <row r="140" ht="12.75" customHeight="1" hidden="1">
      <c r="G140" s="1">
        <f>E128-DEDUCCIONES!E31</f>
        <v>0</v>
      </c>
    </row>
  </sheetData>
  <sheetProtection password="E71E" sheet="1"/>
  <mergeCells count="63">
    <mergeCell ref="F109:G109"/>
    <mergeCell ref="B108:G108"/>
    <mergeCell ref="D109:E109"/>
    <mergeCell ref="D110:E110"/>
    <mergeCell ref="F110:G110"/>
    <mergeCell ref="C73:D73"/>
    <mergeCell ref="B105:D105"/>
    <mergeCell ref="E105:G105"/>
    <mergeCell ref="B87:D87"/>
    <mergeCell ref="B106:D106"/>
    <mergeCell ref="C137:D137"/>
    <mergeCell ref="E137:F137"/>
    <mergeCell ref="E136:F136"/>
    <mergeCell ref="C136:D136"/>
    <mergeCell ref="B135:F135"/>
    <mergeCell ref="B120:E120"/>
    <mergeCell ref="F120:G120"/>
    <mergeCell ref="C128:D128"/>
    <mergeCell ref="F128:G128"/>
    <mergeCell ref="B132:C132"/>
    <mergeCell ref="E132:F132"/>
    <mergeCell ref="B133:C133"/>
    <mergeCell ref="C129:D129"/>
    <mergeCell ref="B130:D130"/>
    <mergeCell ref="B5:F5"/>
    <mergeCell ref="B6:F6"/>
    <mergeCell ref="B28:G28"/>
    <mergeCell ref="B14:F14"/>
    <mergeCell ref="B24:G24"/>
    <mergeCell ref="C96:D96"/>
    <mergeCell ref="C23:E23"/>
    <mergeCell ref="B19:F19"/>
    <mergeCell ref="B18:F18"/>
    <mergeCell ref="B31:E31"/>
    <mergeCell ref="C27:E27"/>
    <mergeCell ref="F47:G47"/>
    <mergeCell ref="B44:E44"/>
    <mergeCell ref="F44:G44"/>
    <mergeCell ref="E52:F52"/>
    <mergeCell ref="B61:E61"/>
    <mergeCell ref="F61:G61"/>
    <mergeCell ref="C71:D71"/>
    <mergeCell ref="F71:G71"/>
    <mergeCell ref="C40:D40"/>
    <mergeCell ref="C47:D47"/>
    <mergeCell ref="C48:D48"/>
    <mergeCell ref="F48:G48"/>
    <mergeCell ref="B13:F13"/>
    <mergeCell ref="B3:F3"/>
    <mergeCell ref="B11:F11"/>
    <mergeCell ref="B8:F8"/>
    <mergeCell ref="B16:F16"/>
    <mergeCell ref="B7:F7"/>
    <mergeCell ref="E106:G106"/>
    <mergeCell ref="B1:G1"/>
    <mergeCell ref="B112:E112"/>
    <mergeCell ref="F112:G112"/>
    <mergeCell ref="C114:E114"/>
    <mergeCell ref="B116:E116"/>
    <mergeCell ref="B115:E115"/>
    <mergeCell ref="F115:G115"/>
    <mergeCell ref="F116:G116"/>
    <mergeCell ref="C2:E2"/>
  </mergeCells>
  <dataValidations count="24">
    <dataValidation allowBlank="1" showInputMessage="1" showErrorMessage="1" promptTitle="B.P.C." prompt="Ingresar el valor actual de la Base de Prestaciones y Contribuciones, decretada por el Poder Ejecutivo" sqref="F58"/>
    <dataValidation type="whole" allowBlank="1" showInputMessage="1" showErrorMessage="1" sqref="E130:E131">
      <formula1>0</formula1>
      <formula2>1E+32</formula2>
    </dataValidation>
    <dataValidation type="whole" allowBlank="1" showInputMessage="1" showErrorMessage="1" errorTitle="Dato no válido" error="Solo podrás ingresar números enteros, sin decimales. Tampoco digites puntos o comas." sqref="G14:G19">
      <formula1>0</formula1>
      <formula2>1E+33</formula2>
    </dataValidation>
    <dataValidation type="whole" allowBlank="1" showInputMessage="1" showErrorMessage="1" sqref="G8">
      <formula1>0</formula1>
      <formula2>1E+33</formula2>
    </dataValidation>
    <dataValidation type="whole" allowBlank="1" showInputMessage="1" showErrorMessage="1" promptTitle="PASIVIDAD" prompt="DIGITA AQUÍ DONDE ESTAS PARADO, EL IMPORTE DE TU PASIVIDAD NOMINAL, SIN DECIMALES Y SIN AGREGAR PUNTOS O COMAS. " sqref="G26">
      <formula1>0</formula1>
      <formula2>1E+37</formula2>
    </dataValidation>
    <dataValidation type="whole" allowBlank="1" showInputMessage="1" showErrorMessage="1" promptTitle="SUELDO" prompt="DIGITÁ AQUÍ DONDE ESTAS POSICIONADO, TU SUELDO NOMINAL O BRUTO SIN RESTARLE NINGUNA PARTIDA, (VER HOJA GUIA TRABAJADOR.&#10;INGRESALO SIN DECIMALES Y SIN AGREGAR PUNTOS O COMAS." errorTitle="Dato no válido" error="Solo podrás ingresar números enteros, sin decimales. Tampoco digites puntos o comas." sqref="G4">
      <formula1>0</formula1>
      <formula2>1E+36</formula2>
    </dataValidation>
    <dataValidation type="whole" allowBlank="1" showInputMessage="1" showErrorMessage="1" promptTitle="PENSION" prompt="DIGITAR EL IMPORTE DE TU PENSIÓN NOMINAL, SIN DECIMALES. TAMPOCO DIGITES PUNTOS O COMAS.&#10;EN CASO DE TENER MAS DE UNA PENSIÓN, INGRESAR UNA POR CELDA.&#10;VER HOJA DE GUIA PENSIÓN." errorTitle="Dato no válido." error="Solo podras ingresar números enteros, sin decimales, puntos o comas" sqref="G29">
      <formula1>0</formula1>
      <formula2>1E+37</formula2>
    </dataValidation>
    <dataValidation type="whole" allowBlank="1" showInputMessage="1" showErrorMessage="1" promptTitle="JUBILACIÓN" prompt="DIGITAR AQUÍ, EL IMPORTE DE TU JUBILACIÓN NOMINAL, SIN DECIMALES Y SIN AGREGAR PUNTOS O COMAS. &#10;EN CASO DE TENER MAS DE UNA JUBILACIÓN, INGRESAR UNA JUBILACIÓN POR CELDA.&#10;VER HOJA DE GUIA JUBILACIÓN." errorTitle="Dato no válido" error="Solo podras ingresar números enteros, sin decimales, puntos o comas." sqref="G25">
      <formula1>0</formula1>
      <formula2>1E+37</formula2>
    </dataValidation>
    <dataValidation type="whole" allowBlank="1" showInputMessage="1" showErrorMessage="1" promptTitle="BRUTO SIN PARTIDAS NO GRAVADAS" prompt="Ingresá tu SUELDO NOMINAL restandole al mismo las partidas no gravadas por el B.P.S. Por ejemplo: CUOTA MUTUAL, HOGAR CONSTITUIDO, PRIMA POR NACIMIENTO, y otros." errorTitle="Dato no válido" error="Debes ingresar un número entero, sin decimilas, ni comas ni puntos." sqref="G10">
      <formula1>0</formula1>
      <formula2>1E+33</formula2>
    </dataValidation>
    <dataValidation type="whole" allowBlank="1" showInputMessage="1" showErrorMessage="1" promptTitle="BRUTO SIN PARTIDAS NO GRAVADAS" prompt="Ingresá tu SUELDO NOMINAL restandole al mismo las partidas no gravadas por el B.P.S. Por ejemplo: TICKETS ALIMENTACIÒN, TICKETS TRANSPORTE,  SEGUNDO AGUINALDO y otros, (ver hoja GUIA TRABAJADOR). &#10;Ingresá el monto sin decimales, puntos o comas." errorTitle="Dato no válido" error="Debes ingresar un número entero, sin decimilas, ni comas ni puntos." sqref="G12">
      <formula1>0</formula1>
      <formula2>1E+33</formula2>
    </dataValidation>
    <dataValidation type="whole" allowBlank="1" showInputMessage="1" showErrorMessage="1" promptTitle="BRUTO SIN PARTIDAS NO GRAVADAS" prompt="Ingresá tu SUELDO NOMINAL restandole al mismo las partidas no gravadas por el B.P.S. Por ejemplo: CUOTA MUTUAL, HOGAR CONSTITUIDO, PRIMA POR NACIMIENTO, y otros, (VER HOJA GUIA TRABAJADOR). Ingresalo sin decimales, puntos o comas." errorTitle="Dato no válido" error="Debes ingresar un número entero, sin decimilas, ni comas ni puntos." sqref="G9">
      <formula1>0</formula1>
      <formula2>1E+33</formula2>
    </dataValidation>
    <dataValidation type="whole" allowBlank="1" showInputMessage="1" showErrorMessage="1" promptTitle="APORTES a CAJA de PROFESIONALES " prompt="Ingresar el aporte mensual a la CAJA DE JUBILACIONES y PENSIONES DE PROFESIONALES UNIVERSITARIOS." errorTitle="Dato no válido" error="Debe ingresar un número entero." sqref="C21">
      <formula1>1</formula1>
      <formula2>1000000000000000000</formula2>
    </dataValidation>
    <dataValidation type="whole" allowBlank="1" showInputMessage="1" showErrorMessage="1" promptTitle="REINTEGROS CAJA PROFESIONAL" prompt="Ingresar el importe mensual de los REINTEGROS de CAJA DE JUBILACIONES Y PENSIONES DE PROFESIONALES UNIVERSITARIOS." errorTitle="Dato no válido" error="Ingresar un número entero, sin puntos ni comas." sqref="F21">
      <formula1>1</formula1>
      <formula2>10000000000000000000</formula2>
    </dataValidation>
    <dataValidation type="whole" allowBlank="1" showInputMessage="1" showErrorMessage="1" promptTitle="FONDO DE SOLIDARIDAD" prompt="Ingresar la cifra anual que se paga por concepto de Fondo de Solidaridad. En caso de los Técnicos de Administración es la mitad de una B.P.C." errorTitle="Dato no válido" error="Debe ingresar un número entero." sqref="C20">
      <formula1>1</formula1>
      <formula2>1000000000000000000</formula2>
    </dataValidation>
    <dataValidation type="whole" allowBlank="1" showInputMessage="1" showErrorMessage="1" promptTitle="ADICIONAL F.de SOLIDARIDAD" prompt="Ingresar el importe anual por concepto de adicional del FONDO de SOLIDARIDAD" errorTitle="Dato no válido" error="Ingresar un número entero" sqref="F20">
      <formula1>1</formula1>
      <formula2>10000000000000000000</formula2>
    </dataValidation>
    <dataValidation type="whole" allowBlank="1" showInputMessage="1" showErrorMessage="1" promptTitle="MULTIEMPLEO PUBLICO" prompt="Registrar un sueldo por empresa y por celda." errorTitle="Dato no válidoc" error="Debes ingresar un número entero, sin puntos ni comas." sqref="D9:E9">
      <formula1>0</formula1>
      <formula2>1000000000000000000</formula2>
    </dataValidation>
    <dataValidation type="whole" allowBlank="1" showInputMessage="1" showErrorMessage="1" promptTitle="MULTIEMPLEO PRIVADO" prompt="Registrar un sueldo por empresa y por celda." errorTitle="Dato no válido" error="Tienes que ingresar un número entero, sin puntos ni comas." sqref="B12:F12">
      <formula1>0</formula1>
      <formula2>1E+22</formula2>
    </dataValidation>
    <dataValidation type="whole" allowBlank="1" showInputMessage="1" showErrorMessage="1" promptTitle="MULTI-JUBILACIÓN" prompt="Registrar una jubilación por celda." errorTitle="Dato no válido" error="Ingresar un número entero, sin comas ni puntos." sqref="D25:E25">
      <formula1>0</formula1>
      <formula2>1000000000000000000</formula2>
    </dataValidation>
    <dataValidation type="whole" allowBlank="1" showInputMessage="1" showErrorMessage="1" promptTitle="MULTI-PENSIÓN" prompt="Ingresar una pensión por celda" errorTitle="Dato no válido" error="Ingresar un número entero, sin puntos ni comas." sqref="D29:E29">
      <formula1>0</formula1>
      <formula2>10000000000000000</formula2>
    </dataValidation>
    <dataValidation type="whole" allowBlank="1" showInputMessage="1" showErrorMessage="1" promptTitle="REGIMEN NUEVO O DE TRANSICIÓN" prompt="Se debe marcar 1 en caso de NUEVO REGIMEN.&#10;Se debe marcar 2 en caso de REGIMEN de TRANSICIÓN." errorTitle="Dato no válido" error="Solo se puede ingresar el valor 1 o el valor 2" sqref="G6">
      <formula1>1</formula1>
      <formula2>2</formula2>
    </dataValidation>
    <dataValidation type="whole" allowBlank="1" showInputMessage="1" showErrorMessage="1" sqref="G27">
      <formula1>0</formula1>
      <formula2>1E+37</formula2>
    </dataValidation>
    <dataValidation type="whole" allowBlank="1" showInputMessage="1" showErrorMessage="1" promptTitle="SUELDO NOMINAL" prompt="DEBE INGRESAR EL SUELDO NOMINAL SIN RESTAR NINGUNA PARTIDA. (VER GUIA TRABAJADOR)" errorTitle="Dato no válido" error="Debe ingresar un número entero, sin comas ni puntos." sqref="G3">
      <formula1>0</formula1>
      <formula2>1E+23</formula2>
    </dataValidation>
    <dataValidation type="whole" allowBlank="1" showInputMessage="1" showErrorMessage="1" promptTitle="HIJOS MENORES DE 18 AÑOS" prompt="DIGITÁ AQUÍ DONDE ESTAS POSICIONADO, 1 SI TENES HIJOS MENORES DE 18 AÑOS O DISCAPACITADOS DE CUALQUIER EDAD A TU CARGO. DE LO CONTRARIO NO DIGITAR NADA." errorTitle="Dato no válido" error="Solo podrás ingresar 1 o 0." sqref="G5">
      <formula1>0</formula1>
      <formula2>1</formula2>
    </dataValidation>
    <dataValidation type="whole" allowBlank="1" showInputMessage="1" showErrorMessage="1" promptTitle="FONASA PARA TU CÓNYUGE/CONCUBINO" prompt="Si tu cónyuge o concubino no tiene derecho al FONASA y además tú tienes 1 o más hijos menores de 18 años o discapacitados de cualquier edad a TU CARGO, sean hijos propios o solo de tu cónyuge, ingresa el número 1; de lo contrario no ingreses nada." errorTitle="Dato no válido" error="Solo se puede ingresar el valor 1 o el valor 2" sqref="G7">
      <formula1>0</formula1>
      <formula2>1</formula2>
    </dataValidation>
  </dataValidations>
  <printOptions/>
  <pageMargins left="0.13" right="0.11" top="0.12" bottom="0.12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showGridLines="0" zoomScalePageLayoutView="0" workbookViewId="0" topLeftCell="B22">
      <selection activeCell="P60" sqref="P60"/>
    </sheetView>
  </sheetViews>
  <sheetFormatPr defaultColWidth="11.421875" defaultRowHeight="12.75"/>
  <cols>
    <col min="1" max="1" width="14.8515625" style="0" hidden="1" customWidth="1"/>
    <col min="2" max="2" width="15.00390625" style="0" customWidth="1"/>
    <col min="3" max="3" width="12.421875" style="0" customWidth="1"/>
    <col min="4" max="4" width="23.140625" style="0" customWidth="1"/>
    <col min="5" max="5" width="21.421875" style="0" customWidth="1"/>
    <col min="6" max="7" width="14.421875" style="0" hidden="1" customWidth="1"/>
    <col min="8" max="9" width="11.421875" style="0" hidden="1" customWidth="1"/>
    <col min="10" max="10" width="11.421875" style="0" customWidth="1"/>
    <col min="11" max="11" width="11.421875" style="0" hidden="1" customWidth="1"/>
    <col min="12" max="12" width="11.421875" style="0" customWidth="1"/>
    <col min="13" max="13" width="13.7109375" style="0" hidden="1" customWidth="1"/>
  </cols>
  <sheetData>
    <row r="1" spans="2:7" ht="24" customHeight="1" thickBot="1">
      <c r="B1" s="538" t="s">
        <v>18</v>
      </c>
      <c r="C1" s="539"/>
      <c r="D1" s="539"/>
      <c r="E1" s="540"/>
      <c r="F1" s="350"/>
      <c r="G1" s="350"/>
    </row>
    <row r="2" ht="13.5" thickBot="1"/>
    <row r="3" spans="2:4" ht="19.5" customHeight="1" thickBot="1">
      <c r="B3" s="532" t="s">
        <v>9</v>
      </c>
      <c r="C3" s="533"/>
      <c r="D3" s="534"/>
    </row>
    <row r="4" spans="2:5" ht="18.75" hidden="1" thickBot="1">
      <c r="B4" s="497" t="s">
        <v>49</v>
      </c>
      <c r="C4" s="498"/>
      <c r="D4" s="499"/>
      <c r="E4" s="195">
        <f>(E62*13)/12</f>
        <v>5275.833333333333</v>
      </c>
    </row>
    <row r="5" spans="2:5" ht="18.75" hidden="1" thickBot="1">
      <c r="B5" s="196"/>
      <c r="C5" s="196"/>
      <c r="D5" s="196"/>
      <c r="E5" s="182"/>
    </row>
    <row r="6" ht="16.5" hidden="1" thickBot="1">
      <c r="E6" s="146">
        <f>(1775*6.5)/12</f>
        <v>961.4583333333334</v>
      </c>
    </row>
    <row r="7" spans="2:4" ht="19.5" customHeight="1" hidden="1" thickBot="1">
      <c r="B7" s="506" t="s">
        <v>31</v>
      </c>
      <c r="C7" s="507"/>
      <c r="D7" s="508"/>
    </row>
    <row r="8" spans="2:5" ht="18.75" hidden="1" thickBot="1">
      <c r="B8" s="535" t="s">
        <v>20</v>
      </c>
      <c r="C8" s="536"/>
      <c r="D8" s="537"/>
      <c r="E8" s="183">
        <f>E62</f>
        <v>4870</v>
      </c>
    </row>
    <row r="9" spans="2:5" ht="13.5" customHeight="1" hidden="1" thickBot="1">
      <c r="B9" s="180"/>
      <c r="C9" s="180"/>
      <c r="D9" s="180"/>
      <c r="E9" s="181"/>
    </row>
    <row r="10" spans="2:5" ht="21" thickBot="1">
      <c r="B10" s="503" t="s">
        <v>9</v>
      </c>
      <c r="C10" s="504"/>
      <c r="D10" s="505"/>
      <c r="E10" s="181"/>
    </row>
    <row r="11" spans="2:5" ht="18.75" thickBot="1">
      <c r="B11" s="500" t="s">
        <v>51</v>
      </c>
      <c r="C11" s="501"/>
      <c r="D11" s="502"/>
      <c r="E11" s="184">
        <f>(E62*26)/12</f>
        <v>10551.666666666666</v>
      </c>
    </row>
    <row r="12" ht="12.75" hidden="1"/>
    <row r="13" spans="1:12" ht="16.5" hidden="1" thickBot="1">
      <c r="A13" s="509" t="s">
        <v>19</v>
      </c>
      <c r="B13" s="531"/>
      <c r="C13" s="510"/>
      <c r="E13" s="509" t="s">
        <v>21</v>
      </c>
      <c r="F13" s="531"/>
      <c r="G13" s="531"/>
      <c r="H13" s="510"/>
      <c r="I13" s="218"/>
      <c r="J13" s="218"/>
      <c r="K13" s="218"/>
      <c r="L13" s="218"/>
    </row>
    <row r="14" spans="2:7" ht="18.75" hidden="1" thickBot="1">
      <c r="B14" s="34">
        <f>IF('IRPF ÚNICO EMPLEO'!G3=0,0,('IRPF ÚNICO EMPLEO'!E101+'IRPF ÚNICO EMPLEO'!C53+'IRPF ÚNICO EMPLEO'!C51+('IRPF ÚNICO EMPLEO'!C20/12)+('IRPF ÚNICO EMPLEO'!F20/12)+'IRPF ÚNICO EMPLEO'!C21+'IRPF ÚNICO EMPLEO'!F21+('IRPF ÚNICO EMPLEO'!G14*DEDUCCIONES!E4)+('IRPF ÚNICO EMPLEO'!G16*E11)))</f>
        <v>0</v>
      </c>
      <c r="E14" s="73">
        <f>IF('IRPF ÚNICO EMPLEO'!A25&gt;DEDUCCIONES!E66,'IRPF ÚNICO EMPLEO'!A25*1%,'IRPF ÚNICO EMPLEO'!A25*3%)</f>
        <v>0</v>
      </c>
      <c r="F14" s="36">
        <f>IF('IRPF ÚNICO EMPLEO'!A25&lt;=0,0,IF(AND('IRPF ÚNICO EMPLEO'!A29&lt;=0,B14&lt;=0),F17,IF(AND('IRPF ÚNICO EMPLEO'!A29&lt;=0,DEDUCCIONES!B14&gt;0),E8+E14,DEDUCCIONES!F17)))</f>
        <v>0</v>
      </c>
      <c r="G14" s="332"/>
    </row>
    <row r="15" spans="2:7" ht="18.75" hidden="1" thickBot="1">
      <c r="B15" s="34">
        <f>IF('IRPF ÚNICO EMPLEO'!G4=0,0,('IRPF ÚNICO EMPLEO'!E101+'IRPF ÚNICO EMPLEO'!C53+'IRPF ÚNICO EMPLEO'!C51+('IRPF ÚNICO EMPLEO'!C20/12)+('IRPF ÚNICO EMPLEO'!F20/12)+'IRPF ÚNICO EMPLEO'!C21+'IRPF ÚNICO EMPLEO'!F21+('IRPF ÚNICO EMPLEO'!G14*E6))+('IRPF ÚNICO EMPLEO'!G16*E11))</f>
        <v>0</v>
      </c>
      <c r="E15" s="76"/>
      <c r="F15" s="36"/>
      <c r="G15" s="332"/>
    </row>
    <row r="16" ht="12.75" hidden="1"/>
    <row r="17" spans="1:7" ht="16.5" hidden="1" thickBot="1">
      <c r="A17" s="72"/>
      <c r="C17" s="509" t="s">
        <v>22</v>
      </c>
      <c r="D17" s="510"/>
      <c r="E17" s="74">
        <f>IF('IRPF ÚNICO EMPLEO'!G4&lt;=0,('IRPF ÚNICO EMPLEO'!C20/12)+('IRPF ÚNICO EMPLEO'!F20/12)+'IRPF ÚNICO EMPLEO'!C21+'IRPF ÚNICO EMPLEO'!F21+'IRPF ÚNICO EMPLEO'!G14*DEDUCCIONES!E4+'IRPF ÚNICO EMPLEO'!G16*E11,0)</f>
        <v>0</v>
      </c>
      <c r="F17" s="75">
        <f>E17+E14+E8</f>
        <v>4870</v>
      </c>
      <c r="G17" s="333"/>
    </row>
    <row r="18" spans="3:4" ht="21" hidden="1" thickBot="1">
      <c r="C18" s="511">
        <f>IF('IRPF ÚNICO EMPLEO'!A29&lt;=0,0,IF(AND('IRPF ÚNICO EMPLEO'!A25&lt;=0,B14&lt;=0),F17,IF(AND('IRPF ÚNICO EMPLEO'!A25&lt;=0,DEDUCCIONES!B14&gt;0),DEDUCCIONES!F17,0)))</f>
        <v>0</v>
      </c>
      <c r="D18" s="512"/>
    </row>
    <row r="19" spans="3:4" ht="10.5" customHeight="1" thickBot="1">
      <c r="C19" s="26"/>
      <c r="D19" s="26"/>
    </row>
    <row r="20" spans="2:13" ht="20.25" customHeight="1" thickBot="1" thickTop="1">
      <c r="B20" s="541" t="s">
        <v>88</v>
      </c>
      <c r="C20" s="542"/>
      <c r="D20" s="542"/>
      <c r="E20" s="206">
        <f>M20</f>
        <v>0</v>
      </c>
      <c r="F20" s="338">
        <f>+D84</f>
        <v>6555</v>
      </c>
      <c r="G20" s="338">
        <f>M20-E20</f>
        <v>0</v>
      </c>
      <c r="H20" s="338">
        <f>B85</f>
        <v>3277</v>
      </c>
      <c r="I20" s="338">
        <f>M20-F20-G20</f>
        <v>-6555</v>
      </c>
      <c r="J20" s="338"/>
      <c r="K20" s="338"/>
      <c r="L20" s="338"/>
      <c r="M20" s="353">
        <f>B14+F14+C18</f>
        <v>0</v>
      </c>
    </row>
    <row r="21" spans="2:13" ht="20.25" customHeight="1" hidden="1" thickBot="1">
      <c r="B21" s="336"/>
      <c r="C21" s="336"/>
      <c r="D21" s="336"/>
      <c r="E21" s="337"/>
      <c r="F21" s="338"/>
      <c r="G21" s="352">
        <f>M20-F20-H20</f>
        <v>-9832</v>
      </c>
      <c r="H21" s="352">
        <f>IF(G21&gt;H20,H20,0)</f>
        <v>0</v>
      </c>
      <c r="I21" s="338"/>
      <c r="J21" s="338"/>
      <c r="K21" s="338"/>
      <c r="L21" s="338"/>
      <c r="M21" s="339"/>
    </row>
    <row r="22" spans="2:7" s="259" customFormat="1" ht="11.25" customHeight="1" thickBot="1">
      <c r="B22" s="260"/>
      <c r="C22" s="260"/>
      <c r="D22" s="260"/>
      <c r="E22" s="261"/>
      <c r="G22" s="335"/>
    </row>
    <row r="23" spans="2:5" s="259" customFormat="1" ht="20.25" customHeight="1" hidden="1" thickBot="1">
      <c r="B23" s="491" t="s">
        <v>96</v>
      </c>
      <c r="C23" s="492"/>
      <c r="D23" s="492"/>
      <c r="E23" s="493"/>
    </row>
    <row r="24" ht="12.75" hidden="1"/>
    <row r="25" spans="2:13" ht="13.5" hidden="1" thickBot="1">
      <c r="B25" s="31" t="s">
        <v>5</v>
      </c>
      <c r="C25" s="39" t="s">
        <v>14</v>
      </c>
      <c r="D25" s="31" t="s">
        <v>8</v>
      </c>
      <c r="E25" s="40" t="s">
        <v>50</v>
      </c>
      <c r="I25" s="252"/>
      <c r="J25" s="252"/>
      <c r="K25" s="252"/>
      <c r="L25" s="252"/>
      <c r="M25" s="41" t="s">
        <v>5</v>
      </c>
    </row>
    <row r="26" spans="1:13" ht="15" hidden="1">
      <c r="A26" s="27">
        <f>IF(E20&lt;=M26,E20,M26)</f>
        <v>0</v>
      </c>
      <c r="B26" s="86" t="s">
        <v>61</v>
      </c>
      <c r="C26" s="87">
        <f>IF(A26&lt;=0,0,A26)</f>
        <v>0</v>
      </c>
      <c r="D26" s="88">
        <v>0.1</v>
      </c>
      <c r="E26" s="89">
        <f>C26*D26</f>
        <v>0</v>
      </c>
      <c r="I26" s="334"/>
      <c r="J26" s="334"/>
      <c r="K26" s="334"/>
      <c r="L26" s="334"/>
      <c r="M26" s="106">
        <f>3*E62</f>
        <v>14610</v>
      </c>
    </row>
    <row r="27" spans="1:13" ht="15" hidden="1">
      <c r="A27" s="27">
        <f>IF(E20&gt;=M27,M27-M26,E20-M26)</f>
        <v>-14610</v>
      </c>
      <c r="B27" s="90" t="s">
        <v>62</v>
      </c>
      <c r="C27" s="91">
        <f>IF(A27&lt;=0,0,A27)</f>
        <v>0</v>
      </c>
      <c r="D27" s="92">
        <v>0.15</v>
      </c>
      <c r="E27" s="93">
        <f>C27*D27</f>
        <v>0</v>
      </c>
      <c r="I27" s="334"/>
      <c r="J27" s="334"/>
      <c r="K27" s="334"/>
      <c r="L27" s="334"/>
      <c r="M27" s="107">
        <f>8*E62</f>
        <v>38960</v>
      </c>
    </row>
    <row r="28" spans="1:13" ht="15" hidden="1">
      <c r="A28" s="27">
        <f>IF(E20&gt;=M28,M28-M27,E20-M27)</f>
        <v>-38960</v>
      </c>
      <c r="B28" s="94" t="s">
        <v>63</v>
      </c>
      <c r="C28" s="95">
        <f>IF(A28&lt;=0,0,A28)</f>
        <v>0</v>
      </c>
      <c r="D28" s="96">
        <v>0.2</v>
      </c>
      <c r="E28" s="97">
        <f>C28*D28</f>
        <v>0</v>
      </c>
      <c r="I28" s="334"/>
      <c r="J28" s="334"/>
      <c r="K28" s="334"/>
      <c r="L28" s="334"/>
      <c r="M28" s="108">
        <f>43*E62</f>
        <v>209410</v>
      </c>
    </row>
    <row r="29" spans="1:13" ht="15.75" hidden="1" thickBot="1">
      <c r="A29" s="27">
        <f>IF(E20&gt;=M29,M29-M28,E20-M28)</f>
        <v>-209410</v>
      </c>
      <c r="B29" s="98" t="s">
        <v>64</v>
      </c>
      <c r="C29" s="99">
        <f>IF(A29&lt;=0,0,A29)</f>
        <v>0</v>
      </c>
      <c r="D29" s="100">
        <v>0.22</v>
      </c>
      <c r="E29" s="101">
        <f>C29*D29</f>
        <v>0</v>
      </c>
      <c r="I29" s="334"/>
      <c r="J29" s="334"/>
      <c r="K29" s="334"/>
      <c r="L29" s="334"/>
      <c r="M29" s="109">
        <f>93*E62</f>
        <v>452910</v>
      </c>
    </row>
    <row r="30" spans="1:5" ht="15.75" hidden="1" thickBot="1">
      <c r="A30" s="27">
        <f>IF(E20&gt;M29,E20-M29,0)</f>
        <v>0</v>
      </c>
      <c r="B30" s="102" t="s">
        <v>65</v>
      </c>
      <c r="C30" s="103">
        <f>IF(A30&lt;=0,0,A30)</f>
        <v>0</v>
      </c>
      <c r="D30" s="104">
        <v>0.25</v>
      </c>
      <c r="E30" s="198">
        <f>C30*D30</f>
        <v>0</v>
      </c>
    </row>
    <row r="31" spans="2:5" ht="27.75" hidden="1" thickBot="1" thickTop="1">
      <c r="B31" s="105"/>
      <c r="C31" s="513" t="s">
        <v>18</v>
      </c>
      <c r="D31" s="514"/>
      <c r="E31" s="207">
        <f>SUM(E26:E30)</f>
        <v>0</v>
      </c>
    </row>
    <row r="32" ht="12.75" hidden="1"/>
    <row r="33" ht="13.5" hidden="1" thickBot="1"/>
    <row r="34" spans="1:12" ht="18.75" thickBot="1">
      <c r="A34" s="259"/>
      <c r="B34" s="491" t="s">
        <v>96</v>
      </c>
      <c r="C34" s="492"/>
      <c r="D34" s="492"/>
      <c r="E34" s="493"/>
      <c r="F34" s="259"/>
      <c r="G34" s="259"/>
      <c r="H34" s="259"/>
      <c r="I34" s="259"/>
      <c r="J34" s="259"/>
      <c r="K34" s="259"/>
      <c r="L34" s="259"/>
    </row>
    <row r="35" ht="13.5" hidden="1" thickBot="1"/>
    <row r="36" spans="2:12" ht="13.5" thickBot="1">
      <c r="B36" s="31" t="s">
        <v>5</v>
      </c>
      <c r="C36" s="39" t="s">
        <v>14</v>
      </c>
      <c r="D36" s="31" t="s">
        <v>8</v>
      </c>
      <c r="E36" s="40" t="s">
        <v>50</v>
      </c>
      <c r="I36" s="323"/>
      <c r="J36" s="252"/>
      <c r="K36" s="252"/>
      <c r="L36" s="41" t="s">
        <v>5</v>
      </c>
    </row>
    <row r="37" spans="1:12" ht="15">
      <c r="A37" s="27">
        <f>IF(M20&lt;=L37,M20,L37)</f>
        <v>0</v>
      </c>
      <c r="B37" s="86" t="s">
        <v>61</v>
      </c>
      <c r="C37" s="87">
        <f>IF(A37&lt;=0,0,A37)</f>
        <v>0</v>
      </c>
      <c r="D37" s="88">
        <v>0.1</v>
      </c>
      <c r="E37" s="89">
        <f>C37*D37</f>
        <v>0</v>
      </c>
      <c r="I37" s="324"/>
      <c r="J37" s="334"/>
      <c r="K37" s="334"/>
      <c r="L37" s="106">
        <f>3*E62</f>
        <v>14610</v>
      </c>
    </row>
    <row r="38" spans="1:12" ht="15">
      <c r="A38" s="27">
        <f>IF(M20&gt;=L38,L38-L37,M20-L37)</f>
        <v>-14610</v>
      </c>
      <c r="B38" s="90" t="s">
        <v>62</v>
      </c>
      <c r="C38" s="91">
        <f>IF(A38&lt;=0,0,A38)</f>
        <v>0</v>
      </c>
      <c r="D38" s="92">
        <v>0.15</v>
      </c>
      <c r="E38" s="93">
        <f>C38*D38</f>
        <v>0</v>
      </c>
      <c r="I38" s="325"/>
      <c r="J38" s="334"/>
      <c r="K38" s="334"/>
      <c r="L38" s="107">
        <f>8*E62</f>
        <v>38960</v>
      </c>
    </row>
    <row r="39" spans="1:12" ht="15">
      <c r="A39" s="27">
        <f>IF(M20&gt;=L39,L39-L38,M20-L38)</f>
        <v>-38960</v>
      </c>
      <c r="B39" s="94" t="s">
        <v>63</v>
      </c>
      <c r="C39" s="95">
        <f>IF(A39&lt;=0,0,A39)</f>
        <v>0</v>
      </c>
      <c r="D39" s="96">
        <v>0.2</v>
      </c>
      <c r="E39" s="97">
        <f>C39*D39</f>
        <v>0</v>
      </c>
      <c r="I39" s="326"/>
      <c r="J39" s="334"/>
      <c r="K39" s="334"/>
      <c r="L39" s="108">
        <f>43*E62</f>
        <v>209410</v>
      </c>
    </row>
    <row r="40" spans="1:12" ht="15.75" thickBot="1">
      <c r="A40" s="27">
        <f>IF(M20&gt;=L40,L40-L39,M20-L39)</f>
        <v>-209410</v>
      </c>
      <c r="B40" s="98" t="s">
        <v>64</v>
      </c>
      <c r="C40" s="99">
        <f>IF(A40&lt;=0,0,A40)</f>
        <v>0</v>
      </c>
      <c r="D40" s="100">
        <v>0.22</v>
      </c>
      <c r="E40" s="101">
        <f>C40*D40</f>
        <v>0</v>
      </c>
      <c r="I40" s="327"/>
      <c r="J40" s="334"/>
      <c r="K40" s="334"/>
      <c r="L40" s="109">
        <f>93*E62</f>
        <v>452910</v>
      </c>
    </row>
    <row r="41" spans="1:5" ht="15.75" thickBot="1">
      <c r="A41" s="27">
        <f>IF(E32&gt;L40,E32-L40,0)</f>
        <v>0</v>
      </c>
      <c r="B41" s="102" t="s">
        <v>65</v>
      </c>
      <c r="C41" s="103">
        <f>IF(A41&lt;=0,0,A41)</f>
        <v>0</v>
      </c>
      <c r="D41" s="104">
        <v>0.25</v>
      </c>
      <c r="E41" s="198">
        <f>C41*D41</f>
        <v>0</v>
      </c>
    </row>
    <row r="42" spans="2:5" ht="27.75" thickBot="1" thickTop="1">
      <c r="B42" s="105"/>
      <c r="C42" s="513" t="s">
        <v>18</v>
      </c>
      <c r="D42" s="514"/>
      <c r="E42" s="207">
        <f>SUM(E37:E41)</f>
        <v>0</v>
      </c>
    </row>
    <row r="43" ht="12.75" hidden="1"/>
    <row r="44" ht="12.75" hidden="1"/>
    <row r="45" ht="12.75" hidden="1"/>
    <row r="46" spans="8:12" ht="13.5" thickBot="1">
      <c r="H46" s="155"/>
      <c r="I46" s="155"/>
      <c r="J46" s="155"/>
      <c r="K46" s="155"/>
      <c r="L46" s="155"/>
    </row>
    <row r="47" spans="3:5" ht="21" thickBot="1">
      <c r="C47" s="522" t="s">
        <v>95</v>
      </c>
      <c r="D47" s="523"/>
      <c r="E47" s="524"/>
    </row>
    <row r="48" ht="13.5" hidden="1" thickBot="1"/>
    <row r="49" spans="2:12" ht="13.5" thickBot="1">
      <c r="B49" s="252"/>
      <c r="C49" s="257" t="s">
        <v>14</v>
      </c>
      <c r="D49" s="31" t="s">
        <v>8</v>
      </c>
      <c r="E49" s="40" t="s">
        <v>50</v>
      </c>
      <c r="F49" s="289">
        <f>E31+E50</f>
        <v>0</v>
      </c>
      <c r="H49" s="252"/>
      <c r="I49" s="252"/>
      <c r="J49" s="252"/>
      <c r="K49" s="252"/>
      <c r="L49" s="252"/>
    </row>
    <row r="50" spans="2:12" ht="15.75" thickBot="1">
      <c r="B50" s="252"/>
      <c r="C50" s="307">
        <f>IF('IRPF ÚNICO EMPLEO'!G3&lt;='IRPF ÚNICO EMPLEO'!G65,M20,0)</f>
        <v>0</v>
      </c>
      <c r="D50" s="306">
        <v>0.1</v>
      </c>
      <c r="E50" s="308">
        <f aca="true" t="shared" si="0" ref="E50:E55">C50*D50</f>
        <v>0</v>
      </c>
      <c r="H50" s="252"/>
      <c r="I50" s="252"/>
      <c r="J50" s="252"/>
      <c r="K50" s="252"/>
      <c r="L50" s="252"/>
    </row>
    <row r="51" spans="2:13" ht="15.75" customHeight="1" thickBot="1">
      <c r="B51" s="253"/>
      <c r="C51" s="340">
        <f>IF('IRPF ÚNICO EMPLEO'!G3&gt;'IRPF ÚNICO EMPLEO'!G65,M20,0)</f>
        <v>0</v>
      </c>
      <c r="D51" s="341">
        <v>0.08</v>
      </c>
      <c r="E51" s="342">
        <f t="shared" si="0"/>
        <v>0</v>
      </c>
      <c r="F51" s="333">
        <f>F49+E51</f>
        <v>0</v>
      </c>
      <c r="G51" s="292"/>
      <c r="H51" s="293"/>
      <c r="I51" s="293"/>
      <c r="J51" s="293"/>
      <c r="K51" s="293"/>
      <c r="L51" s="293"/>
      <c r="M51" s="294"/>
    </row>
    <row r="52" spans="2:12" ht="13.5" customHeight="1" hidden="1">
      <c r="B52" s="251" t="s">
        <v>62</v>
      </c>
      <c r="C52" s="254">
        <f>IF(A52&lt;=0,0,A52)</f>
        <v>0</v>
      </c>
      <c r="D52" s="255">
        <v>0.08</v>
      </c>
      <c r="E52" s="256">
        <f t="shared" si="0"/>
        <v>0</v>
      </c>
      <c r="H52" s="258">
        <f>8*E73</f>
        <v>0</v>
      </c>
      <c r="I52" s="325"/>
      <c r="J52" s="325"/>
      <c r="K52" s="325"/>
      <c r="L52" s="325"/>
    </row>
    <row r="53" spans="2:12" ht="15.75" hidden="1" thickBot="1">
      <c r="B53" s="94" t="s">
        <v>63</v>
      </c>
      <c r="C53" s="95">
        <f>IF(A53&lt;=0,0,A53)</f>
        <v>0</v>
      </c>
      <c r="D53" s="96">
        <v>0.08</v>
      </c>
      <c r="E53" s="97">
        <f t="shared" si="0"/>
        <v>0</v>
      </c>
      <c r="H53" s="108">
        <f>43*E73</f>
        <v>0</v>
      </c>
      <c r="I53" s="326"/>
      <c r="J53" s="326"/>
      <c r="K53" s="326"/>
      <c r="L53" s="326"/>
    </row>
    <row r="54" spans="2:12" ht="15.75" hidden="1" thickBot="1">
      <c r="B54" s="98" t="s">
        <v>64</v>
      </c>
      <c r="C54" s="99">
        <f>IF(A54&lt;=0,0,A54)</f>
        <v>0</v>
      </c>
      <c r="D54" s="100">
        <v>0.08</v>
      </c>
      <c r="E54" s="101">
        <f t="shared" si="0"/>
        <v>0</v>
      </c>
      <c r="H54" s="109">
        <f>93*E73</f>
        <v>0</v>
      </c>
      <c r="I54" s="327"/>
      <c r="J54" s="327"/>
      <c r="K54" s="327"/>
      <c r="L54" s="327"/>
    </row>
    <row r="55" spans="2:5" ht="15.75" hidden="1" thickBot="1">
      <c r="B55" s="102" t="s">
        <v>65</v>
      </c>
      <c r="C55" s="103">
        <f>IF(A55&lt;=0,0,A55)</f>
        <v>0</v>
      </c>
      <c r="D55" s="104">
        <v>0.08</v>
      </c>
      <c r="E55" s="198">
        <f t="shared" si="0"/>
        <v>0</v>
      </c>
    </row>
    <row r="56" spans="2:13" ht="27.75" thickBot="1" thickTop="1">
      <c r="B56" s="105"/>
      <c r="C56" s="513" t="s">
        <v>18</v>
      </c>
      <c r="D56" s="514"/>
      <c r="E56" s="207">
        <f>SUM(E50:E55)</f>
        <v>0</v>
      </c>
      <c r="F56" s="2"/>
      <c r="G56" s="2"/>
      <c r="H56" s="1"/>
      <c r="I56" s="1"/>
      <c r="J56" s="1"/>
      <c r="K56" s="1"/>
      <c r="L56" s="1"/>
      <c r="M56" s="155"/>
    </row>
    <row r="57" spans="6:13" ht="12.75" hidden="1">
      <c r="F57" s="2"/>
      <c r="G57" s="2"/>
      <c r="H57" s="1"/>
      <c r="I57" s="1"/>
      <c r="J57" s="1"/>
      <c r="K57" s="1"/>
      <c r="L57" s="1"/>
      <c r="M57" s="1"/>
    </row>
    <row r="58" spans="2:5" ht="27" hidden="1" thickBot="1">
      <c r="B58" s="519" t="s">
        <v>113</v>
      </c>
      <c r="C58" s="520"/>
      <c r="D58" s="521"/>
      <c r="E58" s="280">
        <f>E56</f>
        <v>0</v>
      </c>
    </row>
    <row r="59" spans="2:5" ht="15" customHeight="1" thickBot="1">
      <c r="B59" s="290"/>
      <c r="C59" s="290"/>
      <c r="D59" s="290"/>
      <c r="E59" s="291"/>
    </row>
    <row r="60" spans="2:5" ht="27" thickBot="1">
      <c r="B60" s="494" t="s">
        <v>114</v>
      </c>
      <c r="C60" s="495"/>
      <c r="D60" s="496"/>
      <c r="E60" s="351">
        <f>E42-E58</f>
        <v>0</v>
      </c>
    </row>
    <row r="61" ht="13.5" thickBot="1"/>
    <row r="62" spans="4:5" ht="24" thickBot="1">
      <c r="D62" s="22" t="s">
        <v>4</v>
      </c>
      <c r="E62" s="70">
        <v>4870</v>
      </c>
    </row>
    <row r="63" ht="12.75" hidden="1"/>
    <row r="64" ht="12.75" hidden="1"/>
    <row r="65" ht="12.75" hidden="1"/>
    <row r="66" spans="3:5" ht="21" hidden="1" thickBot="1">
      <c r="C66" s="529" t="s">
        <v>25</v>
      </c>
      <c r="D66" s="530"/>
      <c r="E66" s="71">
        <v>4678</v>
      </c>
    </row>
    <row r="67" ht="12.75" hidden="1"/>
    <row r="68" ht="13.5" thickBot="1"/>
    <row r="69" spans="4:5" ht="21.75" thickBot="1" thickTop="1">
      <c r="D69" s="150" t="s">
        <v>40</v>
      </c>
      <c r="E69" s="151">
        <v>188411</v>
      </c>
    </row>
    <row r="70" ht="13.5" thickTop="1"/>
    <row r="71" ht="13.5" hidden="1" thickBot="1"/>
    <row r="72" spans="2:5" ht="24.75" hidden="1" thickBot="1" thickTop="1">
      <c r="B72" s="527" t="s">
        <v>69</v>
      </c>
      <c r="C72" s="528"/>
      <c r="D72" s="528"/>
      <c r="E72" s="206">
        <f>B15</f>
        <v>0</v>
      </c>
    </row>
    <row r="73" ht="13.5" hidden="1" thickBot="1"/>
    <row r="74" spans="2:12" ht="13.5" hidden="1" thickBot="1">
      <c r="B74" s="31" t="s">
        <v>5</v>
      </c>
      <c r="C74" s="39" t="s">
        <v>14</v>
      </c>
      <c r="D74" s="31" t="s">
        <v>8</v>
      </c>
      <c r="E74" s="40" t="s">
        <v>50</v>
      </c>
      <c r="H74" s="41" t="s">
        <v>5</v>
      </c>
      <c r="I74" s="323"/>
      <c r="J74" s="252"/>
      <c r="K74" s="252"/>
      <c r="L74" s="252"/>
    </row>
    <row r="75" spans="1:12" ht="15" hidden="1">
      <c r="A75" s="27">
        <f>IF(E72&lt;=H75,E72,H75)</f>
        <v>0</v>
      </c>
      <c r="B75" s="86" t="s">
        <v>1</v>
      </c>
      <c r="C75" s="87">
        <f>IF(A75&lt;=0,0,A75)</f>
        <v>0</v>
      </c>
      <c r="D75" s="88">
        <v>0.1</v>
      </c>
      <c r="E75" s="89">
        <f>C75*D75</f>
        <v>0</v>
      </c>
      <c r="H75" s="106">
        <f>5*E62</f>
        <v>24350</v>
      </c>
      <c r="I75" s="324"/>
      <c r="J75" s="334"/>
      <c r="K75" s="334"/>
      <c r="L75" s="334"/>
    </row>
    <row r="76" spans="1:12" ht="15" hidden="1">
      <c r="A76" s="1">
        <f>IF(E72&gt;=H76,H75,E72-H75)</f>
        <v>-24350</v>
      </c>
      <c r="B76" s="90" t="s">
        <v>2</v>
      </c>
      <c r="C76" s="91">
        <f>IF(A76&lt;=0,0,A76)</f>
        <v>0</v>
      </c>
      <c r="D76" s="92">
        <v>0.15</v>
      </c>
      <c r="E76" s="93">
        <f>C76*D76</f>
        <v>0</v>
      </c>
      <c r="H76" s="107">
        <f>10*E62</f>
        <v>48700</v>
      </c>
      <c r="I76" s="325"/>
      <c r="J76" s="334"/>
      <c r="K76" s="334"/>
      <c r="L76" s="334"/>
    </row>
    <row r="77" spans="1:12" ht="15" hidden="1">
      <c r="A77" s="1">
        <f>IF(E72&gt;=H77,H77-H76,E72-H76)</f>
        <v>-48700</v>
      </c>
      <c r="B77" s="94" t="s">
        <v>15</v>
      </c>
      <c r="C77" s="95">
        <f>IF(A77&lt;=0,0,A77)</f>
        <v>0</v>
      </c>
      <c r="D77" s="96">
        <v>0.2</v>
      </c>
      <c r="E77" s="97">
        <f>C77*D77</f>
        <v>0</v>
      </c>
      <c r="H77" s="108">
        <f>45*E62</f>
        <v>219150</v>
      </c>
      <c r="I77" s="326"/>
      <c r="J77" s="334"/>
      <c r="K77" s="334"/>
      <c r="L77" s="334"/>
    </row>
    <row r="78" spans="1:12" ht="15.75" hidden="1" thickBot="1">
      <c r="A78" s="1">
        <f>IF(E72&gt;=H78,H78-H77,E72-H77)</f>
        <v>-219150</v>
      </c>
      <c r="B78" s="98" t="s">
        <v>16</v>
      </c>
      <c r="C78" s="99">
        <f>IF(A78&lt;=0,0,A78)</f>
        <v>0</v>
      </c>
      <c r="D78" s="100">
        <v>0.22</v>
      </c>
      <c r="E78" s="101">
        <f>C78*D78</f>
        <v>0</v>
      </c>
      <c r="H78" s="109">
        <f>95*E62</f>
        <v>462650</v>
      </c>
      <c r="I78" s="327"/>
      <c r="J78" s="334"/>
      <c r="K78" s="334"/>
      <c r="L78" s="334"/>
    </row>
    <row r="79" spans="1:5" ht="15.75" hidden="1" thickBot="1">
      <c r="A79" s="1">
        <f>IF(E72&gt;H78,E72-H78,0)</f>
        <v>0</v>
      </c>
      <c r="B79" s="102" t="s">
        <v>17</v>
      </c>
      <c r="C79" s="103">
        <f>IF(A79&lt;=0,0,A79)</f>
        <v>0</v>
      </c>
      <c r="D79" s="104">
        <v>0.25</v>
      </c>
      <c r="E79" s="198">
        <f>C79*D79</f>
        <v>0</v>
      </c>
    </row>
    <row r="80" spans="2:5" ht="27.75" hidden="1" thickBot="1" thickTop="1">
      <c r="B80" s="105"/>
      <c r="C80" s="525" t="s">
        <v>66</v>
      </c>
      <c r="D80" s="526"/>
      <c r="E80" s="199">
        <f>SUM(E75:E79)</f>
        <v>0</v>
      </c>
    </row>
    <row r="81" ht="12.75" hidden="1"/>
    <row r="82" spans="2:12" ht="16.5" hidden="1" thickBot="1">
      <c r="B82" s="286">
        <f>IF(E20&lt;=F20,E31,(E31+E56))</f>
        <v>0</v>
      </c>
      <c r="D82" s="296">
        <v>0</v>
      </c>
      <c r="E82" s="309">
        <f>IF('IRPF ÚNICO EMPLEO'!G14=0,DEDUCCIONES!B94,(IF('IRPF ÚNICO EMPLEO'!G14=1,DEDUCCIONES!C94,IF('IRPF ÚNICO EMPLEO'!G14=2,DEDUCCIONES!D94,IF('IRPF ÚNICO EMPLEO'!G14=3,DEDUCCIONES!E94,IF('IRPF ÚNICO EMPLEO'!G14=4,DEDUCCIONES!F94,IF('IRPF ÚNICO EMPLEO'!G14=5,DEDUCCIONES!H94,IF('IRPF ÚNICO EMPLEO'!G14=6,DEDUCCIONES!M94))))))))</f>
        <v>3277</v>
      </c>
      <c r="F82" s="310"/>
      <c r="G82" s="310"/>
      <c r="H82" s="318"/>
      <c r="I82" s="328"/>
      <c r="J82" s="328"/>
      <c r="K82" s="328"/>
      <c r="L82" s="328"/>
    </row>
    <row r="83" ht="12.75" hidden="1">
      <c r="F83">
        <v>32885</v>
      </c>
    </row>
    <row r="84" spans="2:6" ht="13.5" hidden="1" thickBot="1">
      <c r="B84" s="289">
        <f>IF('IRPF ÚNICO EMPLEO'!G14=0,DEDUCCIONES!B90,(IF('IRPF ÚNICO EMPLEO'!G14=1,DEDUCCIONES!C90,IF('IRPF ÚNICO EMPLEO'!G14=2,DEDUCCIONES!D90,IF('IRPF ÚNICO EMPLEO'!G14=3,DEDUCCIONES!E90,IF('IRPF ÚNICO EMPLEO'!G14=4,DEDUCCIONES!F90,IF('IRPF ÚNICO EMPLEO'!G14=5,DEDUCCIONES!H90,IF('IRPF ÚNICO EMPLEO'!G14=6,DEDUCCIONES!M90))))))))</f>
        <v>6555</v>
      </c>
      <c r="C84" s="289">
        <f>IF('IRPF ÚNICO EMPLEO'!G16=0,D82,IF('IRPF ÚNICO EMPLEO'!G16=1,DEDUCCIONES!D90,IF('IRPF ÚNICO EMPLEO'!G16=2,DEDUCCIONES!F90,IF('IRPF ÚNICO EMPLEO'!G16=3,DEDUCCIONES!M90))))</f>
        <v>0</v>
      </c>
      <c r="D84" s="297">
        <f>+B84+C84</f>
        <v>6555</v>
      </c>
      <c r="E84">
        <f>IF('IRPF ÚNICO EMPLEO'!G14=0,DEDUCCIONES!D82,DEDUCCIONES!B84)</f>
        <v>0</v>
      </c>
      <c r="F84">
        <f>IF('IRPF ÚNICO EMPLEO'!G14&lt;&gt;0*(AND('IRPF ÚNICO EMPLEO'!G16&lt;&gt;0)),DEDUCCIONES!D84-DEDUCCIONES!B90,D84)</f>
        <v>6555</v>
      </c>
    </row>
    <row r="85" spans="2:4" ht="13.5" hidden="1" thickBot="1">
      <c r="B85" s="289">
        <f>IF('IRPF ÚNICO EMPLEO'!G14=0,DEDUCCIONES!B94,(IF('IRPF ÚNICO EMPLEO'!G14=1,DEDUCCIONES!C94,IF('IRPF ÚNICO EMPLEO'!G14=2,DEDUCCIONES!D94,IF('IRPF ÚNICO EMPLEO'!G14=3,DEDUCCIONES!E94,IF('IRPF ÚNICO EMPLEO'!G14=4,DEDUCCIONES!F94,IF('IRPF ÚNICO EMPLEO'!G14=5,DEDUCCIONES!H94,IF('IRPF ÚNICO EMPLEO'!G14=6,DEDUCCIONES!M94))))))))</f>
        <v>3277</v>
      </c>
      <c r="C85" s="294"/>
      <c r="D85" s="294"/>
    </row>
    <row r="86" spans="2:4" ht="12.75" hidden="1">
      <c r="B86" s="294"/>
      <c r="C86" s="294"/>
      <c r="D86" s="294"/>
    </row>
    <row r="87" ht="12.75" hidden="1"/>
    <row r="88" spans="2:12" ht="13.5" hidden="1" thickBot="1">
      <c r="B88" s="448" t="s">
        <v>106</v>
      </c>
      <c r="C88" s="518"/>
      <c r="D88" s="518"/>
      <c r="E88" s="518"/>
      <c r="F88" s="518"/>
      <c r="G88" s="518"/>
      <c r="H88" s="449"/>
      <c r="I88" s="329"/>
      <c r="J88" s="329"/>
      <c r="K88" s="329"/>
      <c r="L88" s="329"/>
    </row>
    <row r="89" spans="2:13" ht="13.5" hidden="1" thickBot="1">
      <c r="B89" s="317" t="s">
        <v>107</v>
      </c>
      <c r="C89" s="317" t="s">
        <v>108</v>
      </c>
      <c r="D89" s="317" t="s">
        <v>109</v>
      </c>
      <c r="E89" s="317" t="s">
        <v>110</v>
      </c>
      <c r="F89" s="295" t="s">
        <v>111</v>
      </c>
      <c r="G89" s="295"/>
      <c r="H89" s="295" t="s">
        <v>112</v>
      </c>
      <c r="I89" s="295"/>
      <c r="J89" s="295"/>
      <c r="K89" s="295"/>
      <c r="L89" s="295"/>
      <c r="M89" s="295" t="s">
        <v>115</v>
      </c>
    </row>
    <row r="90" spans="2:14" ht="12.75" hidden="1">
      <c r="B90" s="300">
        <v>6555</v>
      </c>
      <c r="C90" s="301">
        <v>10674</v>
      </c>
      <c r="D90" s="301">
        <v>14292</v>
      </c>
      <c r="E90" s="304">
        <v>17911</v>
      </c>
      <c r="F90" s="311">
        <v>21529</v>
      </c>
      <c r="G90" s="311"/>
      <c r="H90" s="311">
        <v>25147</v>
      </c>
      <c r="I90" s="311"/>
      <c r="J90" s="311"/>
      <c r="K90" s="311"/>
      <c r="L90" s="311"/>
      <c r="M90" s="311">
        <v>28766</v>
      </c>
      <c r="N90" s="284">
        <v>32384</v>
      </c>
    </row>
    <row r="91" spans="2:14" ht="13.5" hidden="1" thickBot="1">
      <c r="B91" s="515" t="s">
        <v>121</v>
      </c>
      <c r="C91" s="516"/>
      <c r="D91" s="516"/>
      <c r="E91" s="516"/>
      <c r="F91" s="516"/>
      <c r="G91" s="516"/>
      <c r="H91" s="516"/>
      <c r="I91" s="516"/>
      <c r="J91" s="516"/>
      <c r="K91" s="516"/>
      <c r="L91" s="516"/>
      <c r="M91" s="517"/>
      <c r="N91" s="284"/>
    </row>
    <row r="92" spans="2:13" ht="13.5" hidden="1" thickBot="1">
      <c r="B92" s="315">
        <v>9832</v>
      </c>
      <c r="C92" s="316">
        <v>14402</v>
      </c>
      <c r="D92" s="316">
        <v>17820</v>
      </c>
      <c r="E92" s="316">
        <v>21439</v>
      </c>
      <c r="F92" s="287">
        <v>25057</v>
      </c>
      <c r="G92" s="287"/>
      <c r="H92" s="287">
        <v>28675</v>
      </c>
      <c r="I92" s="330"/>
      <c r="J92" s="330"/>
      <c r="K92" s="330"/>
      <c r="L92" s="330"/>
      <c r="M92" s="288">
        <v>32294</v>
      </c>
    </row>
    <row r="93" spans="2:13" ht="13.5" hidden="1" thickBot="1">
      <c r="B93" s="312"/>
      <c r="C93" s="313"/>
      <c r="D93" s="313"/>
      <c r="E93" s="313"/>
      <c r="F93" s="343"/>
      <c r="G93" s="343"/>
      <c r="H93" s="343"/>
      <c r="I93" s="344"/>
      <c r="J93" s="344"/>
      <c r="K93" s="344"/>
      <c r="L93" s="344"/>
      <c r="M93" s="345"/>
    </row>
    <row r="94" spans="2:13" ht="13.5" hidden="1" thickBot="1">
      <c r="B94" s="312">
        <f>B92-B90</f>
        <v>3277</v>
      </c>
      <c r="C94" s="313">
        <f>C92-C90</f>
        <v>3728</v>
      </c>
      <c r="D94" s="313">
        <f>D92-D90</f>
        <v>3528</v>
      </c>
      <c r="E94" s="313">
        <f>E92-E90</f>
        <v>3528</v>
      </c>
      <c r="F94" s="313">
        <f>F92-F90</f>
        <v>3528</v>
      </c>
      <c r="G94" s="313"/>
      <c r="H94" s="313">
        <f>H92-H90</f>
        <v>3528</v>
      </c>
      <c r="I94" s="331"/>
      <c r="J94" s="331"/>
      <c r="K94" s="331"/>
      <c r="L94" s="331"/>
      <c r="M94" s="314">
        <f>M92-M90</f>
        <v>3528</v>
      </c>
    </row>
    <row r="97" ht="15.75" hidden="1" thickBot="1">
      <c r="B97" s="305"/>
    </row>
    <row r="98" ht="12.75" hidden="1">
      <c r="D98" s="16" t="s">
        <v>18</v>
      </c>
    </row>
    <row r="99" spans="3:4" ht="12.75" hidden="1">
      <c r="C99" s="3">
        <f>IF('IRPF ÚNICO EMPLEO'!G3&lt;'IRPF ÚNICO EMPLEO'!G34,DEDUCCIONES!E31,IF('IRPF ÚNICO EMPLEO'!G3&gt;'IRPF ÚNICO EMPLEO'!G34,DEDUCCIONES!F82))</f>
        <v>0</v>
      </c>
      <c r="D99" s="299">
        <f>IF('IRPF ÚNICO EMPLEO'!G3&lt;='IRPF ÚNICO EMPLEO'!G35,DEDUCCIONES!E31,IF('IRPF ÚNICO EMPLEO'!G3&lt;='IRPF ÚNICO EMPLEO'!G34,DEDUCCIONES!F82))</f>
        <v>0</v>
      </c>
    </row>
    <row r="100" ht="12.75" hidden="1"/>
    <row r="101" ht="12.75" hidden="1"/>
    <row r="102" ht="12.75" hidden="1"/>
    <row r="103" spans="3:5" ht="12.75" hidden="1">
      <c r="C103" s="302">
        <v>33400</v>
      </c>
      <c r="D103" s="320">
        <f>IF('IRPF ÚNICO EMPLEO'!H3&gt;0,DEDUCCIONES!E31,0)</f>
        <v>0</v>
      </c>
      <c r="E103" s="322">
        <f>IF('IRPF ÚNICO EMPLEO'!J3&gt;0,DEDUCCIONES!E31,0)</f>
        <v>0</v>
      </c>
    </row>
    <row r="104" spans="3:5" ht="12.75" hidden="1">
      <c r="C104" s="321" t="s">
        <v>120</v>
      </c>
      <c r="D104" s="320">
        <f>IF('IRPF ÚNICO EMPLEO'!I3&gt;0,DEDUCCIONES!E31,0)</f>
        <v>0</v>
      </c>
      <c r="E104" s="303">
        <f>IF('IRPF ÚNICO EMPLEO'!I3&gt;0,E50,0)</f>
        <v>0</v>
      </c>
    </row>
    <row r="105" spans="3:5" ht="12.75" hidden="1">
      <c r="C105" s="302">
        <v>50100</v>
      </c>
      <c r="D105" s="320">
        <f>IF('IRPF ÚNICO EMPLEO'!L3&gt;0,DEDUCCIONES!E51,0)</f>
        <v>0</v>
      </c>
      <c r="E105" s="303">
        <f>IF('IRPF ÚNICO EMPLEO'!L3&gt;0,DEDUCCIONES!E51,0)</f>
        <v>0</v>
      </c>
    </row>
    <row r="106" spans="3:5" ht="12.75" hidden="1">
      <c r="C106" s="302"/>
      <c r="D106" s="320"/>
      <c r="E106" s="303"/>
    </row>
    <row r="107" spans="3:5" ht="12.75" hidden="1">
      <c r="C107" s="302"/>
      <c r="D107" s="320"/>
      <c r="E107" s="303"/>
    </row>
    <row r="108" spans="3:5" ht="12.75" hidden="1">
      <c r="C108" s="302"/>
      <c r="D108" s="320"/>
      <c r="E108" s="303"/>
    </row>
    <row r="109" spans="3:5" ht="12.75" hidden="1">
      <c r="C109" s="302"/>
      <c r="D109" s="320"/>
      <c r="E109" s="303">
        <f>SUM(E103:E108)</f>
        <v>0</v>
      </c>
    </row>
    <row r="110" ht="12.75" hidden="1"/>
  </sheetData>
  <sheetProtection password="E71E" sheet="1"/>
  <mergeCells count="25">
    <mergeCell ref="A13:C13"/>
    <mergeCell ref="E13:H13"/>
    <mergeCell ref="B3:D3"/>
    <mergeCell ref="B8:D8"/>
    <mergeCell ref="B1:E1"/>
    <mergeCell ref="B20:D20"/>
    <mergeCell ref="B34:E34"/>
    <mergeCell ref="C42:D42"/>
    <mergeCell ref="B91:M91"/>
    <mergeCell ref="B88:H88"/>
    <mergeCell ref="B58:D58"/>
    <mergeCell ref="C47:E47"/>
    <mergeCell ref="C80:D80"/>
    <mergeCell ref="B72:D72"/>
    <mergeCell ref="C66:D66"/>
    <mergeCell ref="B23:E23"/>
    <mergeCell ref="B60:D60"/>
    <mergeCell ref="B4:D4"/>
    <mergeCell ref="B11:D11"/>
    <mergeCell ref="B10:D10"/>
    <mergeCell ref="B7:D7"/>
    <mergeCell ref="C17:D17"/>
    <mergeCell ref="C18:D18"/>
    <mergeCell ref="C31:D31"/>
    <mergeCell ref="C56:D56"/>
  </mergeCells>
  <dataValidations count="4">
    <dataValidation type="whole" allowBlank="1" showInputMessage="1" showErrorMessage="1" errorTitle="Dato no válido" error="Ingresar una cifra entera, sin decimales ni puntos ni comas." sqref="E62">
      <formula1>0</formula1>
      <formula2>1000000000000</formula2>
    </dataValidation>
    <dataValidation type="decimal" allowBlank="1" showInputMessage="1" showErrorMessage="1" errorTitle="Dato no válido" error="Debe ingresar un número, sin comas ni puntos. Puede ingresar hasta dos decimales." sqref="E66">
      <formula1>0</formula1>
      <formula2>10000000000000</formula2>
    </dataValidation>
    <dataValidation type="whole" allowBlank="1" showInputMessage="1" showErrorMessage="1" sqref="H68:L68">
      <formula1>1</formula1>
      <formula2>10000000000000</formula2>
    </dataValidation>
    <dataValidation type="whole" allowBlank="1" showInputMessage="1" showErrorMessage="1" errorTitle="Datos no válido" error="Debe ingresar un número entero, sin decimales, ni puntos, ni comas." sqref="E69">
      <formula1>1</formula1>
      <formula2>1000000000000000</formula2>
    </dataValidation>
  </dataValidations>
  <printOptions/>
  <pageMargins left="0.12" right="0.14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B2">
      <selection activeCell="E29" sqref="E29"/>
    </sheetView>
  </sheetViews>
  <sheetFormatPr defaultColWidth="11.421875" defaultRowHeight="12.75"/>
  <cols>
    <col min="1" max="1" width="18.28125" style="0" hidden="1" customWidth="1"/>
    <col min="2" max="2" width="18.7109375" style="0" customWidth="1"/>
    <col min="3" max="3" width="14.421875" style="0" customWidth="1"/>
    <col min="4" max="4" width="13.7109375" style="0" customWidth="1"/>
    <col min="5" max="5" width="21.140625" style="0" customWidth="1"/>
    <col min="7" max="7" width="13.57421875" style="0" customWidth="1"/>
    <col min="8" max="8" width="11.421875" style="0" hidden="1" customWidth="1"/>
  </cols>
  <sheetData>
    <row r="1" ht="12.75" hidden="1"/>
    <row r="2" ht="13.5" thickBot="1"/>
    <row r="3" spans="1:7" ht="26.25" customHeight="1" thickBot="1">
      <c r="A3" s="267"/>
      <c r="B3" s="544" t="s">
        <v>98</v>
      </c>
      <c r="C3" s="544"/>
      <c r="D3" s="544"/>
      <c r="E3" s="544"/>
      <c r="F3" s="544"/>
      <c r="G3" s="545"/>
    </row>
    <row r="4" spans="2:7" ht="16.5" thickBot="1">
      <c r="B4" s="144" t="s">
        <v>5</v>
      </c>
      <c r="C4" s="144" t="s">
        <v>7</v>
      </c>
      <c r="D4" s="144" t="s">
        <v>8</v>
      </c>
      <c r="E4" s="144" t="s">
        <v>50</v>
      </c>
      <c r="F4" s="38"/>
      <c r="G4" s="266" t="s">
        <v>5</v>
      </c>
    </row>
    <row r="5" spans="1:7" ht="16.5" thickBot="1">
      <c r="A5" s="19">
        <f>G5</f>
        <v>34090</v>
      </c>
      <c r="B5" s="47" t="s">
        <v>56</v>
      </c>
      <c r="C5" s="238">
        <f>G5</f>
        <v>34090</v>
      </c>
      <c r="D5" s="49">
        <v>0</v>
      </c>
      <c r="E5" s="50">
        <f aca="true" t="shared" si="0" ref="E5:E11">C5*D5</f>
        <v>0</v>
      </c>
      <c r="G5" s="233">
        <f>7*E29</f>
        <v>34090</v>
      </c>
    </row>
    <row r="6" spans="1:8" ht="16.5" thickBot="1">
      <c r="A6" s="20">
        <f>IF(C30&gt;=G6,H6,C30-G5)</f>
        <v>-34090</v>
      </c>
      <c r="B6" s="51" t="s">
        <v>57</v>
      </c>
      <c r="C6" s="239">
        <f aca="true" t="shared" si="1" ref="C6:C11">IF(A6&lt;=0,0,A6)</f>
        <v>0</v>
      </c>
      <c r="D6" s="53">
        <v>0.1</v>
      </c>
      <c r="E6" s="54">
        <f t="shared" si="0"/>
        <v>0</v>
      </c>
      <c r="G6" s="234">
        <f>E29*10</f>
        <v>48700</v>
      </c>
      <c r="H6" s="74">
        <f>G6-G5</f>
        <v>14610</v>
      </c>
    </row>
    <row r="7" spans="1:8" ht="16.5" thickBot="1">
      <c r="A7" s="20">
        <f>IF(C30&gt;=G7,H7,C30-G6)</f>
        <v>-48700</v>
      </c>
      <c r="B7" s="55" t="s">
        <v>3</v>
      </c>
      <c r="C7" s="240">
        <f t="shared" si="1"/>
        <v>0</v>
      </c>
      <c r="D7" s="57">
        <v>0.15</v>
      </c>
      <c r="E7" s="58">
        <f t="shared" si="0"/>
        <v>0</v>
      </c>
      <c r="G7" s="235">
        <f>E29*15</f>
        <v>73050</v>
      </c>
      <c r="H7" s="74">
        <f>G7-G6</f>
        <v>24350</v>
      </c>
    </row>
    <row r="8" spans="1:8" ht="16.5" thickBot="1">
      <c r="A8" s="20">
        <f>IF(C30&gt;=G8,H8,C30-G7)</f>
        <v>-73050</v>
      </c>
      <c r="B8" s="59" t="s">
        <v>11</v>
      </c>
      <c r="C8" s="241">
        <f t="shared" si="1"/>
        <v>0</v>
      </c>
      <c r="D8" s="61">
        <v>0.2</v>
      </c>
      <c r="E8" s="62">
        <f t="shared" si="0"/>
        <v>0</v>
      </c>
      <c r="G8" s="236">
        <f>50*E29</f>
        <v>243500</v>
      </c>
      <c r="H8" s="193">
        <f>G8-G7</f>
        <v>170450</v>
      </c>
    </row>
    <row r="9" spans="1:8" ht="16.5" thickBot="1">
      <c r="A9" s="20">
        <f>IF(C30&gt;=G9,H9,C30-G8)</f>
        <v>-243500</v>
      </c>
      <c r="B9" s="63" t="s">
        <v>91</v>
      </c>
      <c r="C9" s="242">
        <f t="shared" si="1"/>
        <v>0</v>
      </c>
      <c r="D9" s="65">
        <v>0.22</v>
      </c>
      <c r="E9" s="66">
        <f t="shared" si="0"/>
        <v>0</v>
      </c>
      <c r="G9" s="237">
        <f>75*E29</f>
        <v>365250</v>
      </c>
      <c r="H9" s="193">
        <f>G9-G8</f>
        <v>121750</v>
      </c>
    </row>
    <row r="10" spans="1:8" ht="16.5" thickBot="1">
      <c r="A10" s="21">
        <f>IF(C30&gt;=G10,H10,C30-G9)</f>
        <v>-365250</v>
      </c>
      <c r="B10" s="67" t="s">
        <v>93</v>
      </c>
      <c r="C10" s="243">
        <f t="shared" si="1"/>
        <v>0</v>
      </c>
      <c r="D10" s="201">
        <v>0.25</v>
      </c>
      <c r="E10" s="139">
        <f t="shared" si="0"/>
        <v>0</v>
      </c>
      <c r="G10" s="245">
        <f>115*E29</f>
        <v>560050</v>
      </c>
      <c r="H10" s="193">
        <f>G10-G9</f>
        <v>194800</v>
      </c>
    </row>
    <row r="11" spans="1:5" ht="16.5" thickBot="1">
      <c r="A11" s="229">
        <f>IF(C30&gt;G10,C30-G10,0)</f>
        <v>0</v>
      </c>
      <c r="B11" s="230" t="s">
        <v>92</v>
      </c>
      <c r="C11" s="244">
        <f t="shared" si="1"/>
        <v>0</v>
      </c>
      <c r="D11" s="231">
        <v>0.3</v>
      </c>
      <c r="E11" s="232">
        <f t="shared" si="0"/>
        <v>0</v>
      </c>
    </row>
    <row r="12" spans="3:7" ht="27.75" thickBot="1" thickTop="1">
      <c r="C12" s="407" t="s">
        <v>90</v>
      </c>
      <c r="D12" s="543"/>
      <c r="E12" s="274">
        <f>SUM(E5:E11)</f>
        <v>0</v>
      </c>
      <c r="F12" s="190"/>
      <c r="G12" s="190"/>
    </row>
    <row r="13" spans="3:7" ht="21" hidden="1" thickTop="1">
      <c r="C13" s="262"/>
      <c r="D13" s="262"/>
      <c r="E13" s="263"/>
      <c r="F13" s="190"/>
      <c r="G13" s="190"/>
    </row>
    <row r="14" spans="3:7" ht="20.25" hidden="1">
      <c r="C14" s="262"/>
      <c r="D14" s="262"/>
      <c r="E14" s="263"/>
      <c r="F14" s="190"/>
      <c r="G14" s="190"/>
    </row>
    <row r="15" ht="14.25" thickBot="1" thickTop="1"/>
    <row r="16" spans="1:8" ht="26.25" customHeight="1" thickBot="1">
      <c r="A16" s="267"/>
      <c r="B16" s="546" t="s">
        <v>99</v>
      </c>
      <c r="C16" s="544"/>
      <c r="D16" s="544"/>
      <c r="E16" s="544"/>
      <c r="F16" s="544"/>
      <c r="G16" s="545"/>
      <c r="H16" s="268"/>
    </row>
    <row r="17" spans="2:10" ht="18.75" thickBot="1">
      <c r="B17" s="144" t="s">
        <v>5</v>
      </c>
      <c r="C17" s="144" t="s">
        <v>7</v>
      </c>
      <c r="D17" s="144" t="s">
        <v>8</v>
      </c>
      <c r="E17" s="144" t="s">
        <v>50</v>
      </c>
      <c r="F17" s="38"/>
      <c r="G17" s="266" t="s">
        <v>5</v>
      </c>
      <c r="J17" s="283"/>
    </row>
    <row r="18" spans="1:7" ht="16.5" thickBot="1">
      <c r="A18" s="19">
        <f>G18</f>
        <v>34090</v>
      </c>
      <c r="B18" s="47" t="s">
        <v>56</v>
      </c>
      <c r="C18" s="238">
        <f>G18</f>
        <v>34090</v>
      </c>
      <c r="D18" s="49">
        <f>'IRPF ÚNICO EMPLEO'!D63</f>
        <v>0</v>
      </c>
      <c r="E18" s="50">
        <f aca="true" t="shared" si="2" ref="E18:E25">C18*D18</f>
        <v>0</v>
      </c>
      <c r="G18" s="233">
        <f>7*E29</f>
        <v>34090</v>
      </c>
    </row>
    <row r="19" spans="1:8" ht="16.5" thickBot="1">
      <c r="A19" s="20">
        <f>IF(C30&gt;=G19,H19,C30-G18)</f>
        <v>-34090</v>
      </c>
      <c r="B19" s="51" t="s">
        <v>57</v>
      </c>
      <c r="C19" s="239">
        <f aca="true" t="shared" si="3" ref="C19:C25">IF(A19&lt;=0,0,A19)</f>
        <v>0</v>
      </c>
      <c r="D19" s="53">
        <f>'IRPF ÚNICO EMPLEO'!D64</f>
        <v>0.1</v>
      </c>
      <c r="E19" s="54">
        <f t="shared" si="2"/>
        <v>0</v>
      </c>
      <c r="G19" s="234">
        <f>E29*10</f>
        <v>48700</v>
      </c>
      <c r="H19" s="74">
        <f aca="true" t="shared" si="4" ref="H19:H24">G19-G18</f>
        <v>14610</v>
      </c>
    </row>
    <row r="20" spans="1:8" ht="16.5" thickBot="1">
      <c r="A20" s="20">
        <f>IF(C30&gt;=G20,H20,C30-G19)</f>
        <v>-48700</v>
      </c>
      <c r="B20" s="55" t="s">
        <v>3</v>
      </c>
      <c r="C20" s="240">
        <f t="shared" si="3"/>
        <v>0</v>
      </c>
      <c r="D20" s="57">
        <f>'IRPF ÚNICO EMPLEO'!D65</f>
        <v>0.15</v>
      </c>
      <c r="E20" s="58">
        <f t="shared" si="2"/>
        <v>0</v>
      </c>
      <c r="G20" s="235">
        <f>E29*15</f>
        <v>73050</v>
      </c>
      <c r="H20" s="74">
        <f t="shared" si="4"/>
        <v>24350</v>
      </c>
    </row>
    <row r="21" spans="1:8" ht="16.5" thickBot="1">
      <c r="A21" s="20">
        <f>IF(C30&gt;=G21,H21,C30-G20)</f>
        <v>-73050</v>
      </c>
      <c r="B21" s="59" t="s">
        <v>117</v>
      </c>
      <c r="C21" s="241">
        <f>IF(A21&lt;=0,0,A21)</f>
        <v>0</v>
      </c>
      <c r="D21" s="61">
        <f>'IRPF ÚNICO EMPLEO'!D66</f>
        <v>0.24</v>
      </c>
      <c r="E21" s="62">
        <f t="shared" si="2"/>
        <v>0</v>
      </c>
      <c r="G21" s="236">
        <f>30*E29</f>
        <v>146100</v>
      </c>
      <c r="H21" s="193">
        <f t="shared" si="4"/>
        <v>73050</v>
      </c>
    </row>
    <row r="22" spans="1:8" ht="16.5" thickBot="1">
      <c r="A22" s="20">
        <f>IF(C30&gt;=G22,H22,C30-G21)</f>
        <v>-146100</v>
      </c>
      <c r="B22" s="346" t="s">
        <v>118</v>
      </c>
      <c r="C22" s="347">
        <f>IF(A22&lt;=0,0,A22)</f>
        <v>0</v>
      </c>
      <c r="D22" s="348">
        <f>'IRPF ÚNICO EMPLEO'!D67</f>
        <v>0.25</v>
      </c>
      <c r="E22" s="62">
        <f t="shared" si="2"/>
        <v>0</v>
      </c>
      <c r="G22" s="349">
        <f>50*E29</f>
        <v>243500</v>
      </c>
      <c r="H22" s="193">
        <f t="shared" si="4"/>
        <v>97400</v>
      </c>
    </row>
    <row r="23" spans="1:8" ht="16.5" thickBot="1">
      <c r="A23" s="20">
        <f>IF(C30&gt;=G23,H23,C30-G22)</f>
        <v>-243500</v>
      </c>
      <c r="B23" s="63" t="s">
        <v>91</v>
      </c>
      <c r="C23" s="242">
        <f t="shared" si="3"/>
        <v>0</v>
      </c>
      <c r="D23" s="65">
        <f>'IRPF ÚNICO EMPLEO'!D68</f>
        <v>0.27</v>
      </c>
      <c r="E23" s="66">
        <f t="shared" si="2"/>
        <v>0</v>
      </c>
      <c r="G23" s="237">
        <f>75*E29</f>
        <v>365250</v>
      </c>
      <c r="H23" s="298">
        <f t="shared" si="4"/>
        <v>121750</v>
      </c>
    </row>
    <row r="24" spans="1:8" ht="16.5" thickBot="1">
      <c r="A24" s="21">
        <f>IF(C30&gt;=G24,H24,C30-G23)</f>
        <v>-365250</v>
      </c>
      <c r="B24" s="67" t="s">
        <v>93</v>
      </c>
      <c r="C24" s="243">
        <f t="shared" si="3"/>
        <v>0</v>
      </c>
      <c r="D24" s="201">
        <f>'IRPF ÚNICO EMPLEO'!D69</f>
        <v>0.31</v>
      </c>
      <c r="E24" s="139">
        <f t="shared" si="2"/>
        <v>0</v>
      </c>
      <c r="G24" s="245">
        <f>115*E29</f>
        <v>560050</v>
      </c>
      <c r="H24" s="193">
        <f t="shared" si="4"/>
        <v>194800</v>
      </c>
    </row>
    <row r="25" spans="1:5" ht="16.5" thickBot="1">
      <c r="A25" s="229">
        <f>IF(C30&gt;G24,C30-G24,0)</f>
        <v>0</v>
      </c>
      <c r="B25" s="230" t="s">
        <v>92</v>
      </c>
      <c r="C25" s="244">
        <f t="shared" si="3"/>
        <v>0</v>
      </c>
      <c r="D25" s="231">
        <f>'IRPF ÚNICO EMPLEO'!D70</f>
        <v>0.36</v>
      </c>
      <c r="E25" s="232">
        <f t="shared" si="2"/>
        <v>0</v>
      </c>
    </row>
    <row r="26" spans="3:7" ht="27.75" thickBot="1" thickTop="1">
      <c r="C26" s="407" t="s">
        <v>90</v>
      </c>
      <c r="D26" s="543"/>
      <c r="E26" s="274">
        <f>SUM(E18:E25)</f>
        <v>0</v>
      </c>
      <c r="F26" s="409"/>
      <c r="G26" s="409"/>
    </row>
    <row r="27" ht="13.5" thickTop="1">
      <c r="I27" s="155"/>
    </row>
    <row r="28" ht="13.5" thickBot="1"/>
    <row r="29" spans="4:5" ht="16.5" thickBot="1">
      <c r="D29" s="249" t="s">
        <v>4</v>
      </c>
      <c r="E29" s="265">
        <f>DEDUCCIONES!E62</f>
        <v>4870</v>
      </c>
    </row>
    <row r="30" spans="2:3" ht="16.5" thickBot="1">
      <c r="B30" s="281" t="s">
        <v>10</v>
      </c>
      <c r="C30" s="282">
        <f>'IRPF ÚNICO EMPLEO'!C55</f>
        <v>0</v>
      </c>
    </row>
    <row r="31" spans="2:7" ht="27" thickBot="1">
      <c r="B31" s="547" t="s">
        <v>105</v>
      </c>
      <c r="C31" s="548"/>
      <c r="D31" s="548"/>
      <c r="E31" s="549"/>
      <c r="F31" s="550">
        <f>E26-E12</f>
        <v>0</v>
      </c>
      <c r="G31" s="551"/>
    </row>
  </sheetData>
  <sheetProtection password="E71E" sheet="1"/>
  <mergeCells count="7">
    <mergeCell ref="C12:D12"/>
    <mergeCell ref="C26:D26"/>
    <mergeCell ref="F26:G26"/>
    <mergeCell ref="B3:G3"/>
    <mergeCell ref="B16:G16"/>
    <mergeCell ref="B31:E31"/>
    <mergeCell ref="F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43" sqref="A43"/>
    </sheetView>
  </sheetViews>
  <sheetFormatPr defaultColWidth="11.421875" defaultRowHeight="12.75"/>
  <sheetData/>
  <sheetProtection password="E71E" sheet="1" objects="1" scenarios="1"/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8" shapeId="112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pperdomo</dc:creator>
  <cp:keywords/>
  <dc:description/>
  <cp:lastModifiedBy>Pablo</cp:lastModifiedBy>
  <cp:lastPrinted>2016-05-26T17:50:58Z</cp:lastPrinted>
  <dcterms:created xsi:type="dcterms:W3CDTF">2005-11-08T14:51:08Z</dcterms:created>
  <dcterms:modified xsi:type="dcterms:W3CDTF">2021-01-22T16:10:31Z</dcterms:modified>
  <cp:category/>
  <cp:version/>
  <cp:contentType/>
  <cp:contentStatus/>
</cp:coreProperties>
</file>